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20" windowWidth="15360" windowHeight="6600" tabRatio="910" activeTab="10"/>
  </bookViews>
  <sheets>
    <sheet name="L_CBan" sheetId="26" r:id="rId1"/>
    <sheet name="Gia_Tbi" sheetId="47" r:id="rId2"/>
    <sheet name="Gia_Dcu" sheetId="46" r:id="rId3"/>
    <sheet name="Gia_VLieu" sheetId="48" r:id="rId4"/>
    <sheet name="Gia_Phanmem" sheetId="110" r:id="rId5"/>
    <sheet name="Nhân công DL Nen 17-&gt;75" sheetId="106" state="hidden" r:id="rId6"/>
    <sheet name="Dụng cụ DL Nen 17--&gt;75" sheetId="107" state="hidden" r:id="rId7"/>
    <sheet name="Thiết bị DL Nen 17--&gt;75" sheetId="108" state="hidden" r:id="rId8"/>
    <sheet name="Vật liệu DL Nen 17--&gt;75" sheetId="109" state="hidden" r:id="rId9"/>
    <sheet name="Nhân công" sheetId="58" r:id="rId10"/>
    <sheet name="Thiết bị" sheetId="63" r:id="rId11"/>
    <sheet name="Dụng cụ" sheetId="21" r:id="rId12"/>
    <sheet name="Vật liệu" sheetId="62" r:id="rId13"/>
    <sheet name="NC, DC,VL, TB QT đồng bộ" sheetId="95" state="hidden" r:id="rId14"/>
    <sheet name="Nhân công Nen" sheetId="98" r:id="rId15"/>
    <sheet name="Thiết bị Nen" sheetId="97" r:id="rId16"/>
    <sheet name="Dụng cụ Nen" sheetId="96" r:id="rId17"/>
    <sheet name="Vật liệu Nen" sheetId="99" r:id="rId18"/>
    <sheet name="Nhân công quet" sheetId="100" r:id="rId19"/>
    <sheet name="Thiết bị quet" sheetId="102" r:id="rId20"/>
    <sheet name="Dụng cụ quet" sheetId="101" r:id="rId21"/>
    <sheet name="Vật liệu quet" sheetId="103" r:id="rId22"/>
    <sheet name="Don gia XCSDL DC" sheetId="70" r:id="rId23"/>
    <sheet name="Đơn gia phân theo loại đất" sheetId="111" state="hidden" r:id="rId24"/>
    <sheet name="Tinh thu theo du thao" sheetId="81" state="hidden" r:id="rId25"/>
    <sheet name="Tinh thu theo DM 18" sheetId="82" state="hidden" r:id="rId26"/>
    <sheet name="Don gia XCSDL DC CAP TW" sheetId="94" state="hidden" r:id="rId27"/>
    <sheet name="Thiet-bi Trung Uong" sheetId="90" state="hidden" r:id="rId28"/>
    <sheet name="Dcu Trung Uong" sheetId="91" state="hidden" r:id="rId29"/>
    <sheet name="Nhan-cong-Trung Uong" sheetId="92" state="hidden" r:id="rId30"/>
    <sheet name="Vat-lieu Trung Uong" sheetId="93" state="hidden" r:id="rId31"/>
    <sheet name="KHOILUONG" sheetId="76" state="hidden" r:id="rId32"/>
    <sheet name="Data_tinh thu" sheetId="80" state="hidden" r:id="rId33"/>
    <sheet name="Don gia Chuyen doi DLDC" sheetId="87" state="hidden" r:id="rId34"/>
    <sheet name="Đơn giá 17-&gt;75" sheetId="104" state="hidden" r:id="rId35"/>
    <sheet name="Thiet bi 17-&gt;75" sheetId="85" state="hidden" r:id="rId36"/>
    <sheet name="Vật liệu 17-&gt;75" sheetId="84" state="hidden" r:id="rId37"/>
    <sheet name="Dụng cụ 17-&gt;75" sheetId="86" state="hidden" r:id="rId38"/>
    <sheet name="Nhân công 17-&gt;75" sheetId="88" state="hidden" r:id="rId39"/>
    <sheet name="DK thuong xuyen" sheetId="69" state="hidden" r:id="rId40"/>
    <sheet name="VL DK thuong xuyen" sheetId="77" state="hidden" r:id="rId41"/>
    <sheet name="TB DK thuong xuyen" sheetId="78" state="hidden" r:id="rId42"/>
    <sheet name="DC DK thuong xuyen" sheetId="79" state="hidden" r:id="rId43"/>
    <sheet name="VL_DK bo sung" sheetId="73" state="hidden" r:id="rId44"/>
    <sheet name="TB_DK bo sung" sheetId="74" state="hidden" r:id="rId45"/>
    <sheet name="DC_DK bo sung" sheetId="75" state="hidden" r:id="rId46"/>
    <sheet name="DK bo sung" sheetId="72" state="hidden" r:id="rId47"/>
    <sheet name="Sắp xêp HS" sheetId="64" state="hidden" r:id="rId48"/>
    <sheet name="VLieu Xep HS" sheetId="67" state="hidden" r:id="rId49"/>
    <sheet name="Tbi Xep HS" sheetId="66" state="hidden" r:id="rId50"/>
    <sheet name="DCu Xep HS" sheetId="65" state="hidden" r:id="rId51"/>
    <sheet name="He so nhap" sheetId="68" state="hidden" r:id="rId52"/>
    <sheet name="Tbi" sheetId="22" state="hidden" r:id="rId53"/>
    <sheet name="VLieu" sheetId="45" state="hidden" r:id="rId54"/>
  </sheets>
  <externalReferences>
    <externalReference r:id="rId55"/>
    <externalReference r:id="rId56"/>
  </externalReferences>
  <definedNames>
    <definedName name="____CON1" localSheetId="33">#REF!</definedName>
    <definedName name="____CON1" localSheetId="26">#REF!</definedName>
    <definedName name="____CON1" localSheetId="20">#REF!</definedName>
    <definedName name="____CON1" localSheetId="4">#REF!</definedName>
    <definedName name="____CON1" localSheetId="38">#REF!</definedName>
    <definedName name="____CON1" localSheetId="18">#REF!</definedName>
    <definedName name="____CON1" localSheetId="19">#REF!</definedName>
    <definedName name="____CON1" localSheetId="21">#REF!</definedName>
    <definedName name="____CON1">#REF!</definedName>
    <definedName name="____CON2" localSheetId="33">#REF!</definedName>
    <definedName name="____CON2" localSheetId="26">#REF!</definedName>
    <definedName name="____CON2" localSheetId="20">#REF!</definedName>
    <definedName name="____CON2" localSheetId="4">#REF!</definedName>
    <definedName name="____CON2" localSheetId="18">#REF!</definedName>
    <definedName name="____CON2" localSheetId="19">#REF!</definedName>
    <definedName name="____CON2" localSheetId="21">#REF!</definedName>
    <definedName name="____CON2">#REF!</definedName>
    <definedName name="____lap1" localSheetId="33">#REF!</definedName>
    <definedName name="____lap1" localSheetId="26">#REF!</definedName>
    <definedName name="____lap1" localSheetId="20">#REF!</definedName>
    <definedName name="____lap1" localSheetId="4">#REF!</definedName>
    <definedName name="____lap1" localSheetId="18">#REF!</definedName>
    <definedName name="____lap1" localSheetId="19">#REF!</definedName>
    <definedName name="____lap1" localSheetId="21">#REF!</definedName>
    <definedName name="____lap1">#REF!</definedName>
    <definedName name="____lap2" localSheetId="33">#REF!</definedName>
    <definedName name="____lap2" localSheetId="26">#REF!</definedName>
    <definedName name="____lap2" localSheetId="20">#REF!</definedName>
    <definedName name="____lap2" localSheetId="4">#REF!</definedName>
    <definedName name="____lap2" localSheetId="18">#REF!</definedName>
    <definedName name="____lap2" localSheetId="19">#REF!</definedName>
    <definedName name="____lap2" localSheetId="21">#REF!</definedName>
    <definedName name="____lap2">#REF!</definedName>
    <definedName name="____NET2" localSheetId="33">#REF!</definedName>
    <definedName name="____NET2" localSheetId="26">#REF!</definedName>
    <definedName name="____NET2" localSheetId="20">#REF!</definedName>
    <definedName name="____NET2" localSheetId="4">#REF!</definedName>
    <definedName name="____NET2" localSheetId="18">#REF!</definedName>
    <definedName name="____NET2" localSheetId="19">#REF!</definedName>
    <definedName name="____NET2" localSheetId="21">#REF!</definedName>
    <definedName name="____NET2">#REF!</definedName>
    <definedName name="___CON1" localSheetId="33">#REF!</definedName>
    <definedName name="___CON1" localSheetId="26">#REF!</definedName>
    <definedName name="___CON1" localSheetId="20">#REF!</definedName>
    <definedName name="___CON1" localSheetId="4">#REF!</definedName>
    <definedName name="___CON1" localSheetId="31">#REF!</definedName>
    <definedName name="___CON1" localSheetId="18">#REF!</definedName>
    <definedName name="___CON1" localSheetId="19">#REF!</definedName>
    <definedName name="___CON1" localSheetId="21">#REF!</definedName>
    <definedName name="___CON1">#REF!</definedName>
    <definedName name="___CON2" localSheetId="33">#REF!</definedName>
    <definedName name="___CON2" localSheetId="26">#REF!</definedName>
    <definedName name="___CON2" localSheetId="20">#REF!</definedName>
    <definedName name="___CON2" localSheetId="4">#REF!</definedName>
    <definedName name="___CON2" localSheetId="31">#REF!</definedName>
    <definedName name="___CON2" localSheetId="18">#REF!</definedName>
    <definedName name="___CON2" localSheetId="19">#REF!</definedName>
    <definedName name="___CON2" localSheetId="21">#REF!</definedName>
    <definedName name="___CON2">#REF!</definedName>
    <definedName name="___lap1" localSheetId="33">#REF!</definedName>
    <definedName name="___lap1" localSheetId="26">#REF!</definedName>
    <definedName name="___lap1" localSheetId="20">#REF!</definedName>
    <definedName name="___lap1" localSheetId="4">#REF!</definedName>
    <definedName name="___lap1" localSheetId="18">#REF!</definedName>
    <definedName name="___lap1" localSheetId="19">#REF!</definedName>
    <definedName name="___lap1" localSheetId="21">#REF!</definedName>
    <definedName name="___lap1">#REF!</definedName>
    <definedName name="___lap2" localSheetId="33">#REF!</definedName>
    <definedName name="___lap2" localSheetId="26">#REF!</definedName>
    <definedName name="___lap2" localSheetId="20">#REF!</definedName>
    <definedName name="___lap2" localSheetId="4">#REF!</definedName>
    <definedName name="___lap2" localSheetId="18">#REF!</definedName>
    <definedName name="___lap2" localSheetId="19">#REF!</definedName>
    <definedName name="___lap2" localSheetId="21">#REF!</definedName>
    <definedName name="___lap2">#REF!</definedName>
    <definedName name="___NET2" localSheetId="33">#REF!</definedName>
    <definedName name="___NET2" localSheetId="26">#REF!</definedName>
    <definedName name="___NET2" localSheetId="20">#REF!</definedName>
    <definedName name="___NET2" localSheetId="4">#REF!</definedName>
    <definedName name="___NET2" localSheetId="18">#REF!</definedName>
    <definedName name="___NET2" localSheetId="19">#REF!</definedName>
    <definedName name="___NET2" localSheetId="21">#REF!</definedName>
    <definedName name="___NET2">#REF!</definedName>
    <definedName name="__CON1" localSheetId="33">#REF!</definedName>
    <definedName name="__CON1" localSheetId="26">#REF!</definedName>
    <definedName name="__CON1" localSheetId="20">#REF!</definedName>
    <definedName name="__CON1" localSheetId="4">#REF!</definedName>
    <definedName name="__CON1" localSheetId="18">#REF!</definedName>
    <definedName name="__CON1" localSheetId="19">#REF!</definedName>
    <definedName name="__CON1" localSheetId="21">#REF!</definedName>
    <definedName name="__CON1">#REF!</definedName>
    <definedName name="__CON2" localSheetId="33">#REF!</definedName>
    <definedName name="__CON2" localSheetId="26">#REF!</definedName>
    <definedName name="__CON2" localSheetId="20">#REF!</definedName>
    <definedName name="__CON2" localSheetId="4">#REF!</definedName>
    <definedName name="__CON2" localSheetId="18">#REF!</definedName>
    <definedName name="__CON2" localSheetId="19">#REF!</definedName>
    <definedName name="__CON2" localSheetId="21">#REF!</definedName>
    <definedName name="__CON2">#REF!</definedName>
    <definedName name="__lap1" localSheetId="33">#REF!</definedName>
    <definedName name="__lap1" localSheetId="26">#REF!</definedName>
    <definedName name="__lap1" localSheetId="20">#REF!</definedName>
    <definedName name="__lap1" localSheetId="4">#REF!</definedName>
    <definedName name="__lap1" localSheetId="18">#REF!</definedName>
    <definedName name="__lap1" localSheetId="19">#REF!</definedName>
    <definedName name="__lap1" localSheetId="21">#REF!</definedName>
    <definedName name="__lap1">#REF!</definedName>
    <definedName name="__lap2" localSheetId="33">#REF!</definedName>
    <definedName name="__lap2" localSheetId="26">#REF!</definedName>
    <definedName name="__lap2" localSheetId="20">#REF!</definedName>
    <definedName name="__lap2" localSheetId="4">#REF!</definedName>
    <definedName name="__lap2" localSheetId="18">#REF!</definedName>
    <definedName name="__lap2" localSheetId="19">#REF!</definedName>
    <definedName name="__lap2" localSheetId="21">#REF!</definedName>
    <definedName name="__lap2">#REF!</definedName>
    <definedName name="__NET2" localSheetId="33">#REF!</definedName>
    <definedName name="__NET2" localSheetId="26">#REF!</definedName>
    <definedName name="__NET2" localSheetId="20">#REF!</definedName>
    <definedName name="__NET2" localSheetId="4">#REF!</definedName>
    <definedName name="__NET2" localSheetId="18">#REF!</definedName>
    <definedName name="__NET2" localSheetId="19">#REF!</definedName>
    <definedName name="__NET2" localSheetId="21">#REF!</definedName>
    <definedName name="__NET2">#REF!</definedName>
    <definedName name="_1">#N/A</definedName>
    <definedName name="_1000A01">#N/A</definedName>
    <definedName name="_2">#N/A</definedName>
    <definedName name="_CON1" localSheetId="33">#REF!</definedName>
    <definedName name="_CON1" localSheetId="26">#REF!</definedName>
    <definedName name="_CON1" localSheetId="20">#REF!</definedName>
    <definedName name="_CON1" localSheetId="4">#REF!</definedName>
    <definedName name="_CON1" localSheetId="31">#REF!</definedName>
    <definedName name="_CON1" localSheetId="18">#REF!</definedName>
    <definedName name="_CON1" localSheetId="19">#REF!</definedName>
    <definedName name="_CON1" localSheetId="21">#REF!</definedName>
    <definedName name="_CON1">#REF!</definedName>
    <definedName name="_CON2" localSheetId="33">#REF!</definedName>
    <definedName name="_CON2" localSheetId="22">#REF!</definedName>
    <definedName name="_CON2" localSheetId="26">#REF!</definedName>
    <definedName name="_CON2" localSheetId="20">#REF!</definedName>
    <definedName name="_CON2" localSheetId="4">#REF!</definedName>
    <definedName name="_CON2" localSheetId="31">#REF!</definedName>
    <definedName name="_CON2" localSheetId="18">#REF!</definedName>
    <definedName name="_CON2" localSheetId="19">#REF!</definedName>
    <definedName name="_CON2" localSheetId="21">#REF!</definedName>
    <definedName name="_CON2">#REF!</definedName>
    <definedName name="_Fill" localSheetId="33" hidden="1">#REF!</definedName>
    <definedName name="_Fill" localSheetId="22" hidden="1">#REF!</definedName>
    <definedName name="_Fill" localSheetId="26" hidden="1">#REF!</definedName>
    <definedName name="_Fill" localSheetId="20" hidden="1">#REF!</definedName>
    <definedName name="_Fill" localSheetId="4" hidden="1">#REF!</definedName>
    <definedName name="_Fill" localSheetId="31" hidden="1">#REF!</definedName>
    <definedName name="_Fill" localSheetId="18" hidden="1">#REF!</definedName>
    <definedName name="_Fill" localSheetId="19" hidden="1">#REF!</definedName>
    <definedName name="_Fill" localSheetId="21" hidden="1">#REF!</definedName>
    <definedName name="_Fill" hidden="1">#REF!</definedName>
    <definedName name="_xlnm._FilterDatabase" localSheetId="33">#REF!</definedName>
    <definedName name="_xlnm._FilterDatabase" localSheetId="22" hidden="1">'Don gia XCSDL DC'!$A$6:$O$60</definedName>
    <definedName name="_xlnm._FilterDatabase" localSheetId="26">#REF!</definedName>
    <definedName name="_xlnm._FilterDatabase" localSheetId="20">#REF!</definedName>
    <definedName name="_xlnm._FilterDatabase" localSheetId="4">#REF!</definedName>
    <definedName name="_xlnm._FilterDatabase" localSheetId="18">#REF!</definedName>
    <definedName name="_xlnm._FilterDatabase" localSheetId="19">#REF!</definedName>
    <definedName name="_xlnm._FilterDatabase" localSheetId="21">#REF!</definedName>
    <definedName name="_xlnm._FilterDatabase">#REF!</definedName>
    <definedName name="_Key1" localSheetId="33" hidden="1">#REF!</definedName>
    <definedName name="_Key1" localSheetId="22" hidden="1">#REF!</definedName>
    <definedName name="_Key1" localSheetId="26" hidden="1">#REF!</definedName>
    <definedName name="_Key1" localSheetId="20" hidden="1">#REF!</definedName>
    <definedName name="_Key1" localSheetId="4" hidden="1">#REF!</definedName>
    <definedName name="_Key1" localSheetId="31" hidden="1">#REF!</definedName>
    <definedName name="_Key1" localSheetId="18" hidden="1">#REF!</definedName>
    <definedName name="_Key1" localSheetId="19" hidden="1">#REF!</definedName>
    <definedName name="_Key1" localSheetId="21" hidden="1">#REF!</definedName>
    <definedName name="_Key1" hidden="1">#REF!</definedName>
    <definedName name="_Key2" localSheetId="33" hidden="1">#REF!</definedName>
    <definedName name="_Key2" localSheetId="22" hidden="1">#REF!</definedName>
    <definedName name="_Key2" localSheetId="26" hidden="1">#REF!</definedName>
    <definedName name="_Key2" localSheetId="20" hidden="1">#REF!</definedName>
    <definedName name="_Key2" localSheetId="4" hidden="1">#REF!</definedName>
    <definedName name="_Key2" localSheetId="31" hidden="1">#REF!</definedName>
    <definedName name="_Key2" localSheetId="18" hidden="1">#REF!</definedName>
    <definedName name="_Key2" localSheetId="19" hidden="1">#REF!</definedName>
    <definedName name="_Key2" localSheetId="21" hidden="1">#REF!</definedName>
    <definedName name="_Key2" hidden="1">#REF!</definedName>
    <definedName name="_lap1" localSheetId="33">#REF!</definedName>
    <definedName name="_lap1" localSheetId="22">#REF!</definedName>
    <definedName name="_lap1" localSheetId="26">#REF!</definedName>
    <definedName name="_lap1" localSheetId="20">#REF!</definedName>
    <definedName name="_lap1" localSheetId="4">#REF!</definedName>
    <definedName name="_lap1" localSheetId="31">#REF!</definedName>
    <definedName name="_lap1" localSheetId="18">#REF!</definedName>
    <definedName name="_lap1" localSheetId="19">#REF!</definedName>
    <definedName name="_lap1" localSheetId="21">#REF!</definedName>
    <definedName name="_lap1">#REF!</definedName>
    <definedName name="_lap2" localSheetId="33">#REF!</definedName>
    <definedName name="_lap2" localSheetId="22">#REF!</definedName>
    <definedName name="_lap2" localSheetId="26">#REF!</definedName>
    <definedName name="_lap2" localSheetId="20">#REF!</definedName>
    <definedName name="_lap2" localSheetId="4">#REF!</definedName>
    <definedName name="_lap2" localSheetId="31">#REF!</definedName>
    <definedName name="_lap2" localSheetId="18">#REF!</definedName>
    <definedName name="_lap2" localSheetId="19">#REF!</definedName>
    <definedName name="_lap2" localSheetId="21">#REF!</definedName>
    <definedName name="_lap2">#REF!</definedName>
    <definedName name="_NET2" localSheetId="33">#REF!</definedName>
    <definedName name="_NET2" localSheetId="22">#REF!</definedName>
    <definedName name="_NET2" localSheetId="26">#REF!</definedName>
    <definedName name="_NET2" localSheetId="20">#REF!</definedName>
    <definedName name="_NET2" localSheetId="4">#REF!</definedName>
    <definedName name="_NET2" localSheetId="31">#REF!</definedName>
    <definedName name="_NET2" localSheetId="18">#REF!</definedName>
    <definedName name="_NET2" localSheetId="19">#REF!</definedName>
    <definedName name="_NET2" localSheetId="21">#REF!</definedName>
    <definedName name="_NET2">#REF!</definedName>
    <definedName name="_Order1" hidden="1">255</definedName>
    <definedName name="_Order2" hidden="1">255</definedName>
    <definedName name="_Sort" localSheetId="33" hidden="1">#REF!</definedName>
    <definedName name="_Sort" localSheetId="22" hidden="1">#REF!</definedName>
    <definedName name="_Sort" localSheetId="26" hidden="1">#REF!</definedName>
    <definedName name="_Sort" localSheetId="20" hidden="1">#REF!</definedName>
    <definedName name="_Sort" localSheetId="4" hidden="1">#REF!</definedName>
    <definedName name="_Sort" localSheetId="31" hidden="1">#REF!</definedName>
    <definedName name="_Sort" localSheetId="18" hidden="1">#REF!</definedName>
    <definedName name="_Sort" localSheetId="19" hidden="1">#REF!</definedName>
    <definedName name="_Sort" localSheetId="21" hidden="1">#REF!</definedName>
    <definedName name="_Sort" hidden="1">#REF!</definedName>
    <definedName name="_Toc476325040" localSheetId="13">'NC, DC,VL, TB QT đồng bộ'!$A$1</definedName>
    <definedName name="_Toc476325041" localSheetId="13">'NC, DC,VL, TB QT đồng bộ'!#REF!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33">#REF!</definedName>
    <definedName name="AA" localSheetId="22">#REF!</definedName>
    <definedName name="AA" localSheetId="26">#REF!</definedName>
    <definedName name="AA" localSheetId="20">#REF!</definedName>
    <definedName name="AA" localSheetId="4">#REF!</definedName>
    <definedName name="AA" localSheetId="31">#REF!</definedName>
    <definedName name="AA" localSheetId="18">#REF!</definedName>
    <definedName name="AA" localSheetId="19">#REF!</definedName>
    <definedName name="AA" localSheetId="21">#REF!</definedName>
    <definedName name="AA">#REF!</definedName>
    <definedName name="All_Item" localSheetId="33">#REF!</definedName>
    <definedName name="All_Item" localSheetId="22">#REF!</definedName>
    <definedName name="All_Item" localSheetId="26">#REF!</definedName>
    <definedName name="All_Item" localSheetId="20">#REF!</definedName>
    <definedName name="All_Item" localSheetId="4">#REF!</definedName>
    <definedName name="All_Item" localSheetId="31">#REF!</definedName>
    <definedName name="All_Item" localSheetId="18">#REF!</definedName>
    <definedName name="All_Item" localSheetId="19">#REF!</definedName>
    <definedName name="All_Item" localSheetId="21">#REF!</definedName>
    <definedName name="All_Item">#REF!</definedName>
    <definedName name="ALPIN">#N/A</definedName>
    <definedName name="ALPJYOU">#N/A</definedName>
    <definedName name="ALPTOI">#N/A</definedName>
    <definedName name="BB" localSheetId="33">#REF!</definedName>
    <definedName name="BB" localSheetId="22">#REF!</definedName>
    <definedName name="BB" localSheetId="26">#REF!</definedName>
    <definedName name="BB" localSheetId="20">#REF!</definedName>
    <definedName name="BB" localSheetId="4">#REF!</definedName>
    <definedName name="BB" localSheetId="31">#REF!</definedName>
    <definedName name="BB" localSheetId="18">#REF!</definedName>
    <definedName name="BB" localSheetId="19">#REF!</definedName>
    <definedName name="BB" localSheetId="21">#REF!</definedName>
    <definedName name="BB">#REF!</definedName>
    <definedName name="Bgiang" localSheetId="34" hidden="1">{"'Sheet1'!$L$16"}</definedName>
    <definedName name="Bgiang" localSheetId="33" hidden="1">{"'Sheet1'!$L$16"}</definedName>
    <definedName name="Bgiang" localSheetId="22" hidden="1">{"'Sheet1'!$L$16"}</definedName>
    <definedName name="Bgiang" localSheetId="26" hidden="1">{"'Sheet1'!$L$16"}</definedName>
    <definedName name="Bgiang" localSheetId="4" hidden="1">{"'Sheet1'!$L$16"}</definedName>
    <definedName name="Bgiang" localSheetId="31" hidden="1">{"'Sheet1'!$L$16"}</definedName>
    <definedName name="Bgiang" localSheetId="38" hidden="1">{"'Sheet1'!$L$16"}</definedName>
    <definedName name="Bgiang" localSheetId="41" hidden="1">{"'Sheet1'!$L$16"}</definedName>
    <definedName name="Bgiang" localSheetId="44" hidden="1">{"'Sheet1'!$L$16"}</definedName>
    <definedName name="Bgiang" localSheetId="10" hidden="1">{"'Sheet1'!$L$16"}</definedName>
    <definedName name="Bgiang" localSheetId="35" hidden="1">{"'Sheet1'!$L$16"}</definedName>
    <definedName name="Bgiang" localSheetId="7" hidden="1">{"'Sheet1'!$L$16"}</definedName>
    <definedName name="Bgiang" localSheetId="15" hidden="1">{"'Sheet1'!$L$16"}</definedName>
    <definedName name="Bgiang" localSheetId="19" hidden="1">{"'Sheet1'!$L$16"}</definedName>
    <definedName name="Bgiang" localSheetId="27" hidden="1">{"'Sheet1'!$L$16"}</definedName>
    <definedName name="Bgiang" localSheetId="12" hidden="1">{"'Sheet1'!$L$16"}</definedName>
    <definedName name="Bgiang" localSheetId="36" hidden="1">{"'Sheet1'!$L$16"}</definedName>
    <definedName name="Bgiang" localSheetId="8" hidden="1">{"'Sheet1'!$L$16"}</definedName>
    <definedName name="Bgiang" localSheetId="17" hidden="1">{"'Sheet1'!$L$16"}</definedName>
    <definedName name="Bgiang" localSheetId="21" hidden="1">{"'Sheet1'!$L$16"}</definedName>
    <definedName name="Bgiang" localSheetId="30" hidden="1">{"'Sheet1'!$L$16"}</definedName>
    <definedName name="Bgiang" localSheetId="40" hidden="1">{"'Sheet1'!$L$16"}</definedName>
    <definedName name="Bgiang" localSheetId="43" hidden="1">{"'Sheet1'!$L$16"}</definedName>
    <definedName name="Bgiang" hidden="1">{"'Sheet1'!$L$16"}</definedName>
    <definedName name="BOQ" localSheetId="33">#REF!</definedName>
    <definedName name="BOQ" localSheetId="22">#REF!</definedName>
    <definedName name="BOQ" localSheetId="26">#REF!</definedName>
    <definedName name="BOQ" localSheetId="20">#REF!</definedName>
    <definedName name="BOQ" localSheetId="4">#REF!</definedName>
    <definedName name="BOQ" localSheetId="31">#REF!</definedName>
    <definedName name="BOQ" localSheetId="18">#REF!</definedName>
    <definedName name="BOQ" localSheetId="19">#REF!</definedName>
    <definedName name="BOQ" localSheetId="21">#REF!</definedName>
    <definedName name="BOQ">#REF!</definedName>
    <definedName name="BVCISUMMARY" localSheetId="33">#REF!</definedName>
    <definedName name="BVCISUMMARY" localSheetId="22">#REF!</definedName>
    <definedName name="BVCISUMMARY" localSheetId="26">#REF!</definedName>
    <definedName name="BVCISUMMARY" localSheetId="20">#REF!</definedName>
    <definedName name="BVCISUMMARY" localSheetId="4">#REF!</definedName>
    <definedName name="BVCISUMMARY" localSheetId="31">#REF!</definedName>
    <definedName name="BVCISUMMARY" localSheetId="18">#REF!</definedName>
    <definedName name="BVCISUMMARY" localSheetId="19">#REF!</definedName>
    <definedName name="BVCISUMMARY" localSheetId="21">#REF!</definedName>
    <definedName name="BVCISUMMARY">#REF!</definedName>
    <definedName name="cap" localSheetId="33">#REF!</definedName>
    <definedName name="cap" localSheetId="22">#REF!</definedName>
    <definedName name="cap" localSheetId="26">#REF!</definedName>
    <definedName name="cap" localSheetId="20">#REF!</definedName>
    <definedName name="cap" localSheetId="4">#REF!</definedName>
    <definedName name="cap" localSheetId="31">#REF!</definedName>
    <definedName name="cap" localSheetId="18">#REF!</definedName>
    <definedName name="cap" localSheetId="19">#REF!</definedName>
    <definedName name="cap" localSheetId="21">#REF!</definedName>
    <definedName name="cap">#REF!</definedName>
    <definedName name="cap0.7" localSheetId="33">#REF!</definedName>
    <definedName name="cap0.7" localSheetId="22">#REF!</definedName>
    <definedName name="cap0.7" localSheetId="26">#REF!</definedName>
    <definedName name="cap0.7" localSheetId="20">#REF!</definedName>
    <definedName name="cap0.7" localSheetId="4">#REF!</definedName>
    <definedName name="cap0.7" localSheetId="31">#REF!</definedName>
    <definedName name="cap0.7" localSheetId="18">#REF!</definedName>
    <definedName name="cap0.7" localSheetId="19">#REF!</definedName>
    <definedName name="cap0.7" localSheetId="21">#REF!</definedName>
    <definedName name="cap0.7">#REF!</definedName>
    <definedName name="Category_All" localSheetId="33">#REF!</definedName>
    <definedName name="Category_All" localSheetId="22">#REF!</definedName>
    <definedName name="Category_All" localSheetId="26">#REF!</definedName>
    <definedName name="Category_All" localSheetId="20">#REF!</definedName>
    <definedName name="Category_All" localSheetId="4">#REF!</definedName>
    <definedName name="Category_All" localSheetId="31">#REF!</definedName>
    <definedName name="Category_All" localSheetId="18">#REF!</definedName>
    <definedName name="Category_All" localSheetId="19">#REF!</definedName>
    <definedName name="Category_All" localSheetId="21">#REF!</definedName>
    <definedName name="Category_All">#REF!</definedName>
    <definedName name="CATIN">#N/A</definedName>
    <definedName name="CATJYOU">#N/A</definedName>
    <definedName name="CATREC">#N/A</definedName>
    <definedName name="CATSYU">#N/A</definedName>
    <definedName name="CL" localSheetId="33">#REF!</definedName>
    <definedName name="CL" localSheetId="22">#REF!</definedName>
    <definedName name="CL" localSheetId="26">#REF!</definedName>
    <definedName name="CL" localSheetId="20">#REF!</definedName>
    <definedName name="CL" localSheetId="4">#REF!</definedName>
    <definedName name="CL" localSheetId="31">#REF!</definedName>
    <definedName name="CL" localSheetId="18">#REF!</definedName>
    <definedName name="CL" localSheetId="19">#REF!</definedName>
    <definedName name="CL" localSheetId="21">#REF!</definedName>
    <definedName name="CL">#REF!</definedName>
    <definedName name="COMMON" localSheetId="33">#REF!</definedName>
    <definedName name="COMMON" localSheetId="22">#REF!</definedName>
    <definedName name="COMMON" localSheetId="26">#REF!</definedName>
    <definedName name="COMMON" localSheetId="20">#REF!</definedName>
    <definedName name="COMMON" localSheetId="4">#REF!</definedName>
    <definedName name="COMMON" localSheetId="31">#REF!</definedName>
    <definedName name="COMMON" localSheetId="18">#REF!</definedName>
    <definedName name="COMMON" localSheetId="19">#REF!</definedName>
    <definedName name="COMMON" localSheetId="21">#REF!</definedName>
    <definedName name="COMMON">#REF!</definedName>
    <definedName name="CON_EQP_COS" localSheetId="33">#REF!</definedName>
    <definedName name="CON_EQP_COS" localSheetId="22">#REF!</definedName>
    <definedName name="CON_EQP_COS" localSheetId="26">#REF!</definedName>
    <definedName name="CON_EQP_COS" localSheetId="20">#REF!</definedName>
    <definedName name="CON_EQP_COS" localSheetId="4">#REF!</definedName>
    <definedName name="CON_EQP_COS" localSheetId="31">#REF!</definedName>
    <definedName name="CON_EQP_COS" localSheetId="18">#REF!</definedName>
    <definedName name="CON_EQP_COS" localSheetId="19">#REF!</definedName>
    <definedName name="CON_EQP_COS" localSheetId="21">#REF!</definedName>
    <definedName name="CON_EQP_COS">#REF!</definedName>
    <definedName name="CON_EQP_COST" localSheetId="33">#REF!</definedName>
    <definedName name="CON_EQP_COST" localSheetId="22">#REF!</definedName>
    <definedName name="CON_EQP_COST" localSheetId="26">#REF!</definedName>
    <definedName name="CON_EQP_COST" localSheetId="20">#REF!</definedName>
    <definedName name="CON_EQP_COST" localSheetId="4">#REF!</definedName>
    <definedName name="CON_EQP_COST" localSheetId="31">#REF!</definedName>
    <definedName name="CON_EQP_COST" localSheetId="18">#REF!</definedName>
    <definedName name="CON_EQP_COST" localSheetId="19">#REF!</definedName>
    <definedName name="CON_EQP_COST" localSheetId="21">#REF!</definedName>
    <definedName name="CON_EQP_COST">#REF!</definedName>
    <definedName name="CONST_EQ" localSheetId="33">#REF!</definedName>
    <definedName name="CONST_EQ" localSheetId="22">#REF!</definedName>
    <definedName name="CONST_EQ" localSheetId="26">#REF!</definedName>
    <definedName name="CONST_EQ" localSheetId="20">#REF!</definedName>
    <definedName name="CONST_EQ" localSheetId="4">#REF!</definedName>
    <definedName name="CONST_EQ" localSheetId="31">#REF!</definedName>
    <definedName name="CONST_EQ" localSheetId="18">#REF!</definedName>
    <definedName name="CONST_EQ" localSheetId="19">#REF!</definedName>
    <definedName name="CONST_EQ" localSheetId="21">#REF!</definedName>
    <definedName name="CONST_EQ">#REF!</definedName>
    <definedName name="COVER" localSheetId="33">#REF!</definedName>
    <definedName name="COVER" localSheetId="22">#REF!</definedName>
    <definedName name="COVER" localSheetId="26">#REF!</definedName>
    <definedName name="COVER" localSheetId="20">#REF!</definedName>
    <definedName name="COVER" localSheetId="4">#REF!</definedName>
    <definedName name="COVER" localSheetId="31">#REF!</definedName>
    <definedName name="COVER" localSheetId="18">#REF!</definedName>
    <definedName name="COVER" localSheetId="19">#REF!</definedName>
    <definedName name="COVER" localSheetId="21">#REF!</definedName>
    <definedName name="COVER">#REF!</definedName>
    <definedName name="CRITINST" localSheetId="33">#REF!</definedName>
    <definedName name="CRITINST" localSheetId="22">#REF!</definedName>
    <definedName name="CRITINST" localSheetId="26">#REF!</definedName>
    <definedName name="CRITINST" localSheetId="20">#REF!</definedName>
    <definedName name="CRITINST" localSheetId="4">#REF!</definedName>
    <definedName name="CRITINST" localSheetId="31">#REF!</definedName>
    <definedName name="CRITINST" localSheetId="18">#REF!</definedName>
    <definedName name="CRITINST" localSheetId="19">#REF!</definedName>
    <definedName name="CRITINST" localSheetId="21">#REF!</definedName>
    <definedName name="CRITINST">#REF!</definedName>
    <definedName name="CRITPURC" localSheetId="33">#REF!</definedName>
    <definedName name="CRITPURC" localSheetId="22">#REF!</definedName>
    <definedName name="CRITPURC" localSheetId="26">#REF!</definedName>
    <definedName name="CRITPURC" localSheetId="20">#REF!</definedName>
    <definedName name="CRITPURC" localSheetId="4">#REF!</definedName>
    <definedName name="CRITPURC" localSheetId="31">#REF!</definedName>
    <definedName name="CRITPURC" localSheetId="18">#REF!</definedName>
    <definedName name="CRITPURC" localSheetId="19">#REF!</definedName>
    <definedName name="CRITPURC" localSheetId="21">#REF!</definedName>
    <definedName name="CRITPURC">#REF!</definedName>
    <definedName name="CS_10" localSheetId="33">#REF!</definedName>
    <definedName name="CS_10" localSheetId="22">#REF!</definedName>
    <definedName name="CS_10" localSheetId="26">#REF!</definedName>
    <definedName name="CS_10" localSheetId="20">#REF!</definedName>
    <definedName name="CS_10" localSheetId="4">#REF!</definedName>
    <definedName name="CS_10" localSheetId="31">#REF!</definedName>
    <definedName name="CS_10" localSheetId="18">#REF!</definedName>
    <definedName name="CS_10" localSheetId="19">#REF!</definedName>
    <definedName name="CS_10" localSheetId="21">#REF!</definedName>
    <definedName name="CS_10">#REF!</definedName>
    <definedName name="CS_100" localSheetId="33">#REF!</definedName>
    <definedName name="CS_100" localSheetId="22">#REF!</definedName>
    <definedName name="CS_100" localSheetId="26">#REF!</definedName>
    <definedName name="CS_100" localSheetId="20">#REF!</definedName>
    <definedName name="CS_100" localSheetId="4">#REF!</definedName>
    <definedName name="CS_100" localSheetId="31">#REF!</definedName>
    <definedName name="CS_100" localSheetId="18">#REF!</definedName>
    <definedName name="CS_100" localSheetId="19">#REF!</definedName>
    <definedName name="CS_100" localSheetId="21">#REF!</definedName>
    <definedName name="CS_100">#REF!</definedName>
    <definedName name="CS_10S" localSheetId="33">#REF!</definedName>
    <definedName name="CS_10S" localSheetId="22">#REF!</definedName>
    <definedName name="CS_10S" localSheetId="26">#REF!</definedName>
    <definedName name="CS_10S" localSheetId="20">#REF!</definedName>
    <definedName name="CS_10S" localSheetId="4">#REF!</definedName>
    <definedName name="CS_10S" localSheetId="31">#REF!</definedName>
    <definedName name="CS_10S" localSheetId="18">#REF!</definedName>
    <definedName name="CS_10S" localSheetId="19">#REF!</definedName>
    <definedName name="CS_10S" localSheetId="21">#REF!</definedName>
    <definedName name="CS_10S">#REF!</definedName>
    <definedName name="CS_120" localSheetId="33">#REF!</definedName>
    <definedName name="CS_120" localSheetId="22">#REF!</definedName>
    <definedName name="CS_120" localSheetId="26">#REF!</definedName>
    <definedName name="CS_120" localSheetId="20">#REF!</definedName>
    <definedName name="CS_120" localSheetId="4">#REF!</definedName>
    <definedName name="CS_120" localSheetId="31">#REF!</definedName>
    <definedName name="CS_120" localSheetId="18">#REF!</definedName>
    <definedName name="CS_120" localSheetId="19">#REF!</definedName>
    <definedName name="CS_120" localSheetId="21">#REF!</definedName>
    <definedName name="CS_120">#REF!</definedName>
    <definedName name="CS_140" localSheetId="33">#REF!</definedName>
    <definedName name="CS_140" localSheetId="22">#REF!</definedName>
    <definedName name="CS_140" localSheetId="26">#REF!</definedName>
    <definedName name="CS_140" localSheetId="20">#REF!</definedName>
    <definedName name="CS_140" localSheetId="4">#REF!</definedName>
    <definedName name="CS_140" localSheetId="31">#REF!</definedName>
    <definedName name="CS_140" localSheetId="18">#REF!</definedName>
    <definedName name="CS_140" localSheetId="19">#REF!</definedName>
    <definedName name="CS_140" localSheetId="21">#REF!</definedName>
    <definedName name="CS_140">#REF!</definedName>
    <definedName name="CS_160" localSheetId="33">#REF!</definedName>
    <definedName name="CS_160" localSheetId="22">#REF!</definedName>
    <definedName name="CS_160" localSheetId="26">#REF!</definedName>
    <definedName name="CS_160" localSheetId="20">#REF!</definedName>
    <definedName name="CS_160" localSheetId="4">#REF!</definedName>
    <definedName name="CS_160" localSheetId="31">#REF!</definedName>
    <definedName name="CS_160" localSheetId="18">#REF!</definedName>
    <definedName name="CS_160" localSheetId="19">#REF!</definedName>
    <definedName name="CS_160" localSheetId="21">#REF!</definedName>
    <definedName name="CS_160">#REF!</definedName>
    <definedName name="CS_20" localSheetId="33">#REF!</definedName>
    <definedName name="CS_20" localSheetId="22">#REF!</definedName>
    <definedName name="CS_20" localSheetId="26">#REF!</definedName>
    <definedName name="CS_20" localSheetId="20">#REF!</definedName>
    <definedName name="CS_20" localSheetId="4">#REF!</definedName>
    <definedName name="CS_20" localSheetId="31">#REF!</definedName>
    <definedName name="CS_20" localSheetId="18">#REF!</definedName>
    <definedName name="CS_20" localSheetId="19">#REF!</definedName>
    <definedName name="CS_20" localSheetId="21">#REF!</definedName>
    <definedName name="CS_20">#REF!</definedName>
    <definedName name="CS_30" localSheetId="33">#REF!</definedName>
    <definedName name="CS_30" localSheetId="22">#REF!</definedName>
    <definedName name="CS_30" localSheetId="26">#REF!</definedName>
    <definedName name="CS_30" localSheetId="20">#REF!</definedName>
    <definedName name="CS_30" localSheetId="4">#REF!</definedName>
    <definedName name="CS_30" localSheetId="31">#REF!</definedName>
    <definedName name="CS_30" localSheetId="18">#REF!</definedName>
    <definedName name="CS_30" localSheetId="19">#REF!</definedName>
    <definedName name="CS_30" localSheetId="21">#REF!</definedName>
    <definedName name="CS_30">#REF!</definedName>
    <definedName name="CS_40" localSheetId="33">#REF!</definedName>
    <definedName name="CS_40" localSheetId="22">#REF!</definedName>
    <definedName name="CS_40" localSheetId="26">#REF!</definedName>
    <definedName name="CS_40" localSheetId="20">#REF!</definedName>
    <definedName name="CS_40" localSheetId="4">#REF!</definedName>
    <definedName name="CS_40" localSheetId="31">#REF!</definedName>
    <definedName name="CS_40" localSheetId="18">#REF!</definedName>
    <definedName name="CS_40" localSheetId="19">#REF!</definedName>
    <definedName name="CS_40" localSheetId="21">#REF!</definedName>
    <definedName name="CS_40">#REF!</definedName>
    <definedName name="CS_40S" localSheetId="33">#REF!</definedName>
    <definedName name="CS_40S" localSheetId="22">#REF!</definedName>
    <definedName name="CS_40S" localSheetId="26">#REF!</definedName>
    <definedName name="CS_40S" localSheetId="20">#REF!</definedName>
    <definedName name="CS_40S" localSheetId="4">#REF!</definedName>
    <definedName name="CS_40S" localSheetId="31">#REF!</definedName>
    <definedName name="CS_40S" localSheetId="18">#REF!</definedName>
    <definedName name="CS_40S" localSheetId="19">#REF!</definedName>
    <definedName name="CS_40S" localSheetId="21">#REF!</definedName>
    <definedName name="CS_40S">#REF!</definedName>
    <definedName name="CS_5S" localSheetId="33">#REF!</definedName>
    <definedName name="CS_5S" localSheetId="22">#REF!</definedName>
    <definedName name="CS_5S" localSheetId="26">#REF!</definedName>
    <definedName name="CS_5S" localSheetId="20">#REF!</definedName>
    <definedName name="CS_5S" localSheetId="4">#REF!</definedName>
    <definedName name="CS_5S" localSheetId="31">#REF!</definedName>
    <definedName name="CS_5S" localSheetId="18">#REF!</definedName>
    <definedName name="CS_5S" localSheetId="19">#REF!</definedName>
    <definedName name="CS_5S" localSheetId="21">#REF!</definedName>
    <definedName name="CS_5S">#REF!</definedName>
    <definedName name="CS_60" localSheetId="33">#REF!</definedName>
    <definedName name="CS_60" localSheetId="22">#REF!</definedName>
    <definedName name="CS_60" localSheetId="26">#REF!</definedName>
    <definedName name="CS_60" localSheetId="20">#REF!</definedName>
    <definedName name="CS_60" localSheetId="4">#REF!</definedName>
    <definedName name="CS_60" localSheetId="31">#REF!</definedName>
    <definedName name="CS_60" localSheetId="18">#REF!</definedName>
    <definedName name="CS_60" localSheetId="19">#REF!</definedName>
    <definedName name="CS_60" localSheetId="21">#REF!</definedName>
    <definedName name="CS_60">#REF!</definedName>
    <definedName name="CS_80" localSheetId="33">#REF!</definedName>
    <definedName name="CS_80" localSheetId="22">#REF!</definedName>
    <definedName name="CS_80" localSheetId="26">#REF!</definedName>
    <definedName name="CS_80" localSheetId="20">#REF!</definedName>
    <definedName name="CS_80" localSheetId="4">#REF!</definedName>
    <definedName name="CS_80" localSheetId="31">#REF!</definedName>
    <definedName name="CS_80" localSheetId="18">#REF!</definedName>
    <definedName name="CS_80" localSheetId="19">#REF!</definedName>
    <definedName name="CS_80" localSheetId="21">#REF!</definedName>
    <definedName name="CS_80">#REF!</definedName>
    <definedName name="CS_80S" localSheetId="33">#REF!</definedName>
    <definedName name="CS_80S" localSheetId="22">#REF!</definedName>
    <definedName name="CS_80S" localSheetId="26">#REF!</definedName>
    <definedName name="CS_80S" localSheetId="20">#REF!</definedName>
    <definedName name="CS_80S" localSheetId="4">#REF!</definedName>
    <definedName name="CS_80S" localSheetId="31">#REF!</definedName>
    <definedName name="CS_80S" localSheetId="18">#REF!</definedName>
    <definedName name="CS_80S" localSheetId="19">#REF!</definedName>
    <definedName name="CS_80S" localSheetId="21">#REF!</definedName>
    <definedName name="CS_80S">#REF!</definedName>
    <definedName name="CS_STD" localSheetId="33">#REF!</definedName>
    <definedName name="CS_STD" localSheetId="22">#REF!</definedName>
    <definedName name="CS_STD" localSheetId="26">#REF!</definedName>
    <definedName name="CS_STD" localSheetId="20">#REF!</definedName>
    <definedName name="CS_STD" localSheetId="4">#REF!</definedName>
    <definedName name="CS_STD" localSheetId="31">#REF!</definedName>
    <definedName name="CS_STD" localSheetId="18">#REF!</definedName>
    <definedName name="CS_STD" localSheetId="19">#REF!</definedName>
    <definedName name="CS_STD" localSheetId="21">#REF!</definedName>
    <definedName name="CS_STD">#REF!</definedName>
    <definedName name="CS_XS" localSheetId="33">#REF!</definedName>
    <definedName name="CS_XS" localSheetId="22">#REF!</definedName>
    <definedName name="CS_XS" localSheetId="26">#REF!</definedName>
    <definedName name="CS_XS" localSheetId="20">#REF!</definedName>
    <definedName name="CS_XS" localSheetId="4">#REF!</definedName>
    <definedName name="CS_XS" localSheetId="31">#REF!</definedName>
    <definedName name="CS_XS" localSheetId="18">#REF!</definedName>
    <definedName name="CS_XS" localSheetId="19">#REF!</definedName>
    <definedName name="CS_XS" localSheetId="21">#REF!</definedName>
    <definedName name="CS_XS">#REF!</definedName>
    <definedName name="CS_XXS" localSheetId="33">#REF!</definedName>
    <definedName name="CS_XXS" localSheetId="22">#REF!</definedName>
    <definedName name="CS_XXS" localSheetId="26">#REF!</definedName>
    <definedName name="CS_XXS" localSheetId="20">#REF!</definedName>
    <definedName name="CS_XXS" localSheetId="4">#REF!</definedName>
    <definedName name="CS_XXS" localSheetId="31">#REF!</definedName>
    <definedName name="CS_XXS" localSheetId="18">#REF!</definedName>
    <definedName name="CS_XXS" localSheetId="19">#REF!</definedName>
    <definedName name="CS_XXS" localSheetId="21">#REF!</definedName>
    <definedName name="CS_XXS">#REF!</definedName>
    <definedName name="ctdn9697" localSheetId="33">#REF!</definedName>
    <definedName name="ctdn9697" localSheetId="22">#REF!</definedName>
    <definedName name="ctdn9697" localSheetId="26">#REF!</definedName>
    <definedName name="ctdn9697" localSheetId="20">#REF!</definedName>
    <definedName name="ctdn9697" localSheetId="4">#REF!</definedName>
    <definedName name="ctdn9697" localSheetId="31">#REF!</definedName>
    <definedName name="ctdn9697" localSheetId="18">#REF!</definedName>
    <definedName name="ctdn9697" localSheetId="19">#REF!</definedName>
    <definedName name="ctdn9697" localSheetId="21">#REF!</definedName>
    <definedName name="ctdn9697">#REF!</definedName>
    <definedName name="CURRENCY" localSheetId="33">#REF!</definedName>
    <definedName name="CURRENCY" localSheetId="22">#REF!</definedName>
    <definedName name="CURRENCY" localSheetId="26">#REF!</definedName>
    <definedName name="CURRENCY" localSheetId="20">#REF!</definedName>
    <definedName name="CURRENCY" localSheetId="4">#REF!</definedName>
    <definedName name="CURRENCY" localSheetId="31">#REF!</definedName>
    <definedName name="CURRENCY" localSheetId="18">#REF!</definedName>
    <definedName name="CURRENCY" localSheetId="19">#REF!</definedName>
    <definedName name="CURRENCY" localSheetId="21">#REF!</definedName>
    <definedName name="CURRENCY">#REF!</definedName>
    <definedName name="d" localSheetId="33">#REF!</definedName>
    <definedName name="d" localSheetId="22">#REF!</definedName>
    <definedName name="d" localSheetId="26">#REF!</definedName>
    <definedName name="d" localSheetId="20">#REF!</definedName>
    <definedName name="d" localSheetId="4">#REF!</definedName>
    <definedName name="d" localSheetId="31">#REF!</definedName>
    <definedName name="d" localSheetId="18">#REF!</definedName>
    <definedName name="d" localSheetId="19">#REF!</definedName>
    <definedName name="d" localSheetId="21">#REF!</definedName>
    <definedName name="d">#REF!</definedName>
    <definedName name="D_7101A_B" localSheetId="33">#REF!</definedName>
    <definedName name="D_7101A_B" localSheetId="22">#REF!</definedName>
    <definedName name="D_7101A_B" localSheetId="26">#REF!</definedName>
    <definedName name="D_7101A_B" localSheetId="20">#REF!</definedName>
    <definedName name="D_7101A_B" localSheetId="4">#REF!</definedName>
    <definedName name="D_7101A_B" localSheetId="31">#REF!</definedName>
    <definedName name="D_7101A_B" localSheetId="18">#REF!</definedName>
    <definedName name="D_7101A_B" localSheetId="19">#REF!</definedName>
    <definedName name="D_7101A_B" localSheetId="21">#REF!</definedName>
    <definedName name="D_7101A_B">#REF!</definedName>
    <definedName name="_xlnm.Database" localSheetId="33">#REF!</definedName>
    <definedName name="_xlnm.Database" localSheetId="22">#REF!</definedName>
    <definedName name="_xlnm.Database" localSheetId="26">#REF!</definedName>
    <definedName name="_xlnm.Database" localSheetId="20">#REF!</definedName>
    <definedName name="_xlnm.Database" localSheetId="4">#REF!</definedName>
    <definedName name="_xlnm.Database" localSheetId="31">#REF!</definedName>
    <definedName name="_xlnm.Database" localSheetId="18">#REF!</definedName>
    <definedName name="_xlnm.Database" localSheetId="19">#REF!</definedName>
    <definedName name="_xlnm.Database" localSheetId="21">#REF!</definedName>
    <definedName name="_xlnm.Database">#REF!</definedName>
    <definedName name="DMGT" localSheetId="33">#REF!</definedName>
    <definedName name="DMGT" localSheetId="22">#REF!</definedName>
    <definedName name="DMGT" localSheetId="26">#REF!</definedName>
    <definedName name="DMGT" localSheetId="20">#REF!</definedName>
    <definedName name="DMGT" localSheetId="4">#REF!</definedName>
    <definedName name="DMGT" localSheetId="31">#REF!</definedName>
    <definedName name="DMGT" localSheetId="18">#REF!</definedName>
    <definedName name="DMGT" localSheetId="19">#REF!</definedName>
    <definedName name="DMGT" localSheetId="21">#REF!</definedName>
    <definedName name="DMGT">#REF!</definedName>
    <definedName name="DMTL" localSheetId="33">#REF!</definedName>
    <definedName name="DMTL" localSheetId="22">#REF!</definedName>
    <definedName name="DMTL" localSheetId="26">#REF!</definedName>
    <definedName name="DMTL" localSheetId="20">#REF!</definedName>
    <definedName name="DMTL" localSheetId="4">#REF!</definedName>
    <definedName name="DMTL" localSheetId="31">#REF!</definedName>
    <definedName name="DMTL" localSheetId="18">#REF!</definedName>
    <definedName name="DMTL" localSheetId="19">#REF!</definedName>
    <definedName name="DMTL" localSheetId="21">#REF!</definedName>
    <definedName name="DMTL">#REF!</definedName>
    <definedName name="dobt" localSheetId="33">#REF!</definedName>
    <definedName name="dobt" localSheetId="22">#REF!</definedName>
    <definedName name="dobt" localSheetId="26">#REF!</definedName>
    <definedName name="dobt" localSheetId="20">#REF!</definedName>
    <definedName name="dobt" localSheetId="4">#REF!</definedName>
    <definedName name="dobt" localSheetId="31">#REF!</definedName>
    <definedName name="dobt" localSheetId="18">#REF!</definedName>
    <definedName name="dobt" localSheetId="19">#REF!</definedName>
    <definedName name="dobt" localSheetId="21">#REF!</definedName>
    <definedName name="dobt">#REF!</definedName>
    <definedName name="DSUMDATA" localSheetId="33">#REF!</definedName>
    <definedName name="DSUMDATA" localSheetId="22">#REF!</definedName>
    <definedName name="DSUMDATA" localSheetId="26">#REF!</definedName>
    <definedName name="DSUMDATA" localSheetId="20">#REF!</definedName>
    <definedName name="DSUMDATA" localSheetId="4">#REF!</definedName>
    <definedName name="DSUMDATA" localSheetId="31">#REF!</definedName>
    <definedName name="DSUMDATA" localSheetId="18">#REF!</definedName>
    <definedName name="DSUMDATA" localSheetId="19">#REF!</definedName>
    <definedName name="DSUMDATA" localSheetId="21">#REF!</definedName>
    <definedName name="DSUMDATA">#REF!</definedName>
    <definedName name="End_1" localSheetId="33">#REF!</definedName>
    <definedName name="End_1" localSheetId="22">#REF!</definedName>
    <definedName name="End_1" localSheetId="26">#REF!</definedName>
    <definedName name="End_1" localSheetId="20">#REF!</definedName>
    <definedName name="End_1" localSheetId="4">#REF!</definedName>
    <definedName name="End_1" localSheetId="31">#REF!</definedName>
    <definedName name="End_1" localSheetId="18">#REF!</definedName>
    <definedName name="End_1" localSheetId="19">#REF!</definedName>
    <definedName name="End_1" localSheetId="21">#REF!</definedName>
    <definedName name="End_1">#REF!</definedName>
    <definedName name="End_10" localSheetId="33">#REF!</definedName>
    <definedName name="End_10" localSheetId="22">#REF!</definedName>
    <definedName name="End_10" localSheetId="26">#REF!</definedName>
    <definedName name="End_10" localSheetId="20">#REF!</definedName>
    <definedName name="End_10" localSheetId="4">#REF!</definedName>
    <definedName name="End_10" localSheetId="31">#REF!</definedName>
    <definedName name="End_10" localSheetId="18">#REF!</definedName>
    <definedName name="End_10" localSheetId="19">#REF!</definedName>
    <definedName name="End_10" localSheetId="21">#REF!</definedName>
    <definedName name="End_10">#REF!</definedName>
    <definedName name="End_11" localSheetId="33">#REF!</definedName>
    <definedName name="End_11" localSheetId="22">#REF!</definedName>
    <definedName name="End_11" localSheetId="26">#REF!</definedName>
    <definedName name="End_11" localSheetId="20">#REF!</definedName>
    <definedName name="End_11" localSheetId="4">#REF!</definedName>
    <definedName name="End_11" localSheetId="31">#REF!</definedName>
    <definedName name="End_11" localSheetId="18">#REF!</definedName>
    <definedName name="End_11" localSheetId="19">#REF!</definedName>
    <definedName name="End_11" localSheetId="21">#REF!</definedName>
    <definedName name="End_11">#REF!</definedName>
    <definedName name="End_12" localSheetId="33">#REF!</definedName>
    <definedName name="End_12" localSheetId="22">#REF!</definedName>
    <definedName name="End_12" localSheetId="26">#REF!</definedName>
    <definedName name="End_12" localSheetId="20">#REF!</definedName>
    <definedName name="End_12" localSheetId="4">#REF!</definedName>
    <definedName name="End_12" localSheetId="31">#REF!</definedName>
    <definedName name="End_12" localSheetId="18">#REF!</definedName>
    <definedName name="End_12" localSheetId="19">#REF!</definedName>
    <definedName name="End_12" localSheetId="21">#REF!</definedName>
    <definedName name="End_12">#REF!</definedName>
    <definedName name="End_13" localSheetId="33">#REF!</definedName>
    <definedName name="End_13" localSheetId="22">#REF!</definedName>
    <definedName name="End_13" localSheetId="26">#REF!</definedName>
    <definedName name="End_13" localSheetId="20">#REF!</definedName>
    <definedName name="End_13" localSheetId="4">#REF!</definedName>
    <definedName name="End_13" localSheetId="31">#REF!</definedName>
    <definedName name="End_13" localSheetId="18">#REF!</definedName>
    <definedName name="End_13" localSheetId="19">#REF!</definedName>
    <definedName name="End_13" localSheetId="21">#REF!</definedName>
    <definedName name="End_13">#REF!</definedName>
    <definedName name="End_2" localSheetId="33">#REF!</definedName>
    <definedName name="End_2" localSheetId="22">#REF!</definedName>
    <definedName name="End_2" localSheetId="26">#REF!</definedName>
    <definedName name="End_2" localSheetId="20">#REF!</definedName>
    <definedName name="End_2" localSheetId="4">#REF!</definedName>
    <definedName name="End_2" localSheetId="31">#REF!</definedName>
    <definedName name="End_2" localSheetId="18">#REF!</definedName>
    <definedName name="End_2" localSheetId="19">#REF!</definedName>
    <definedName name="End_2" localSheetId="21">#REF!</definedName>
    <definedName name="End_2">#REF!</definedName>
    <definedName name="End_3" localSheetId="33">#REF!</definedName>
    <definedName name="End_3" localSheetId="22">#REF!</definedName>
    <definedName name="End_3" localSheetId="26">#REF!</definedName>
    <definedName name="End_3" localSheetId="20">#REF!</definedName>
    <definedName name="End_3" localSheetId="4">#REF!</definedName>
    <definedName name="End_3" localSheetId="31">#REF!</definedName>
    <definedName name="End_3" localSheetId="18">#REF!</definedName>
    <definedName name="End_3" localSheetId="19">#REF!</definedName>
    <definedName name="End_3" localSheetId="21">#REF!</definedName>
    <definedName name="End_3">#REF!</definedName>
    <definedName name="End_4" localSheetId="33">#REF!</definedName>
    <definedName name="End_4" localSheetId="22">#REF!</definedName>
    <definedName name="End_4" localSheetId="26">#REF!</definedName>
    <definedName name="End_4" localSheetId="20">#REF!</definedName>
    <definedName name="End_4" localSheetId="4">#REF!</definedName>
    <definedName name="End_4" localSheetId="31">#REF!</definedName>
    <definedName name="End_4" localSheetId="18">#REF!</definedName>
    <definedName name="End_4" localSheetId="19">#REF!</definedName>
    <definedName name="End_4" localSheetId="21">#REF!</definedName>
    <definedName name="End_4">#REF!</definedName>
    <definedName name="End_5" localSheetId="33">#REF!</definedName>
    <definedName name="End_5" localSheetId="22">#REF!</definedName>
    <definedName name="End_5" localSheetId="26">#REF!</definedName>
    <definedName name="End_5" localSheetId="20">#REF!</definedName>
    <definedName name="End_5" localSheetId="4">#REF!</definedName>
    <definedName name="End_5" localSheetId="31">#REF!</definedName>
    <definedName name="End_5" localSheetId="18">#REF!</definedName>
    <definedName name="End_5" localSheetId="19">#REF!</definedName>
    <definedName name="End_5" localSheetId="21">#REF!</definedName>
    <definedName name="End_5">#REF!</definedName>
    <definedName name="End_6" localSheetId="33">#REF!</definedName>
    <definedName name="End_6" localSheetId="22">#REF!</definedName>
    <definedName name="End_6" localSheetId="26">#REF!</definedName>
    <definedName name="End_6" localSheetId="20">#REF!</definedName>
    <definedName name="End_6" localSheetId="4">#REF!</definedName>
    <definedName name="End_6" localSheetId="31">#REF!</definedName>
    <definedName name="End_6" localSheetId="18">#REF!</definedName>
    <definedName name="End_6" localSheetId="19">#REF!</definedName>
    <definedName name="End_6" localSheetId="21">#REF!</definedName>
    <definedName name="End_6">#REF!</definedName>
    <definedName name="End_7" localSheetId="33">#REF!</definedName>
    <definedName name="End_7" localSheetId="22">#REF!</definedName>
    <definedName name="End_7" localSheetId="26">#REF!</definedName>
    <definedName name="End_7" localSheetId="20">#REF!</definedName>
    <definedName name="End_7" localSheetId="4">#REF!</definedName>
    <definedName name="End_7" localSheetId="31">#REF!</definedName>
    <definedName name="End_7" localSheetId="18">#REF!</definedName>
    <definedName name="End_7" localSheetId="19">#REF!</definedName>
    <definedName name="End_7" localSheetId="21">#REF!</definedName>
    <definedName name="End_7">#REF!</definedName>
    <definedName name="End_8" localSheetId="33">#REF!</definedName>
    <definedName name="End_8" localSheetId="22">#REF!</definedName>
    <definedName name="End_8" localSheetId="26">#REF!</definedName>
    <definedName name="End_8" localSheetId="20">#REF!</definedName>
    <definedName name="End_8" localSheetId="4">#REF!</definedName>
    <definedName name="End_8" localSheetId="31">#REF!</definedName>
    <definedName name="End_8" localSheetId="18">#REF!</definedName>
    <definedName name="End_8" localSheetId="19">#REF!</definedName>
    <definedName name="End_8" localSheetId="21">#REF!</definedName>
    <definedName name="End_8">#REF!</definedName>
    <definedName name="End_9" localSheetId="33">#REF!</definedName>
    <definedName name="End_9" localSheetId="22">#REF!</definedName>
    <definedName name="End_9" localSheetId="26">#REF!</definedName>
    <definedName name="End_9" localSheetId="20">#REF!</definedName>
    <definedName name="End_9" localSheetId="4">#REF!</definedName>
    <definedName name="End_9" localSheetId="31">#REF!</definedName>
    <definedName name="End_9" localSheetId="18">#REF!</definedName>
    <definedName name="End_9" localSheetId="19">#REF!</definedName>
    <definedName name="End_9" localSheetId="21">#REF!</definedName>
    <definedName name="End_9">#REF!</definedName>
    <definedName name="FACTOR" localSheetId="33">#REF!</definedName>
    <definedName name="FACTOR" localSheetId="22">#REF!</definedName>
    <definedName name="FACTOR" localSheetId="26">#REF!</definedName>
    <definedName name="FACTOR" localSheetId="20">#REF!</definedName>
    <definedName name="FACTOR" localSheetId="4">#REF!</definedName>
    <definedName name="FACTOR" localSheetId="31">#REF!</definedName>
    <definedName name="FACTOR" localSheetId="18">#REF!</definedName>
    <definedName name="FACTOR" localSheetId="19">#REF!</definedName>
    <definedName name="FACTOR" localSheetId="21">#REF!</definedName>
    <definedName name="FACTOR">#REF!</definedName>
    <definedName name="G0.7_Total" localSheetId="33">#REF!</definedName>
    <definedName name="G0.7_Total" localSheetId="22">#REF!</definedName>
    <definedName name="G0.7_Total" localSheetId="26">#REF!</definedName>
    <definedName name="G0.7_Total" localSheetId="20">#REF!</definedName>
    <definedName name="G0.7_Total" localSheetId="4">#REF!</definedName>
    <definedName name="G0.7_Total" localSheetId="31">#REF!</definedName>
    <definedName name="G0.7_Total" localSheetId="18">#REF!</definedName>
    <definedName name="G0.7_Total" localSheetId="19">#REF!</definedName>
    <definedName name="G0.7_Total" localSheetId="21">#REF!</definedName>
    <definedName name="G0.7_Total">#REF!</definedName>
    <definedName name="Gt" localSheetId="33">#REF!</definedName>
    <definedName name="Gt" localSheetId="22">#REF!</definedName>
    <definedName name="Gt" localSheetId="26">#REF!</definedName>
    <definedName name="Gt" localSheetId="20">#REF!</definedName>
    <definedName name="Gt" localSheetId="4">#REF!</definedName>
    <definedName name="Gt" localSheetId="31">#REF!</definedName>
    <definedName name="Gt" localSheetId="18">#REF!</definedName>
    <definedName name="Gt" localSheetId="19">#REF!</definedName>
    <definedName name="Gt" localSheetId="21">#REF!</definedName>
    <definedName name="Gt">#REF!</definedName>
    <definedName name="HHTON" localSheetId="33">#REF!</definedName>
    <definedName name="HHTON" localSheetId="22">#REF!</definedName>
    <definedName name="HHTON" localSheetId="26">#REF!</definedName>
    <definedName name="HHTON" localSheetId="20">#REF!</definedName>
    <definedName name="HHTON" localSheetId="4">#REF!</definedName>
    <definedName name="HHTON" localSheetId="31">#REF!</definedName>
    <definedName name="HHTON" localSheetId="18">#REF!</definedName>
    <definedName name="HHTON" localSheetId="19">#REF!</definedName>
    <definedName name="HHTON" localSheetId="21">#REF!</definedName>
    <definedName name="HHTON">#REF!</definedName>
    <definedName name="HOME_MANP" localSheetId="33">#REF!</definedName>
    <definedName name="HOME_MANP" localSheetId="22">#REF!</definedName>
    <definedName name="HOME_MANP" localSheetId="26">#REF!</definedName>
    <definedName name="HOME_MANP" localSheetId="20">#REF!</definedName>
    <definedName name="HOME_MANP" localSheetId="4">#REF!</definedName>
    <definedName name="HOME_MANP" localSheetId="31">#REF!</definedName>
    <definedName name="HOME_MANP" localSheetId="18">#REF!</definedName>
    <definedName name="HOME_MANP" localSheetId="19">#REF!</definedName>
    <definedName name="HOME_MANP" localSheetId="21">#REF!</definedName>
    <definedName name="HOME_MANP">#REF!</definedName>
    <definedName name="HOMEOFFICE_COST" localSheetId="33">#REF!</definedName>
    <definedName name="HOMEOFFICE_COST" localSheetId="22">#REF!</definedName>
    <definedName name="HOMEOFFICE_COST" localSheetId="26">#REF!</definedName>
    <definedName name="HOMEOFFICE_COST" localSheetId="20">#REF!</definedName>
    <definedName name="HOMEOFFICE_COST" localSheetId="4">#REF!</definedName>
    <definedName name="HOMEOFFICE_COST" localSheetId="31">#REF!</definedName>
    <definedName name="HOMEOFFICE_COST" localSheetId="18">#REF!</definedName>
    <definedName name="HOMEOFFICE_COST" localSheetId="19">#REF!</definedName>
    <definedName name="HOMEOFFICE_COST" localSheetId="21">#REF!</definedName>
    <definedName name="HOMEOFFICE_COST">#REF!</definedName>
    <definedName name="ht" localSheetId="34" hidden="1">{"'Sheet1'!$L$16"}</definedName>
    <definedName name="ht" localSheetId="33" hidden="1">{"'Sheet1'!$L$16"}</definedName>
    <definedName name="ht" localSheetId="22" hidden="1">{"'Sheet1'!$L$16"}</definedName>
    <definedName name="ht" localSheetId="26" hidden="1">{"'Sheet1'!$L$16"}</definedName>
    <definedName name="ht" localSheetId="4" hidden="1">{"'Sheet1'!$L$16"}</definedName>
    <definedName name="ht" localSheetId="31" hidden="1">{"'Sheet1'!$L$16"}</definedName>
    <definedName name="ht" localSheetId="38" hidden="1">{"'Sheet1'!$L$16"}</definedName>
    <definedName name="ht" localSheetId="41" hidden="1">{"'Sheet1'!$L$16"}</definedName>
    <definedName name="ht" localSheetId="44" hidden="1">{"'Sheet1'!$L$16"}</definedName>
    <definedName name="ht" localSheetId="10" hidden="1">{"'Sheet1'!$L$16"}</definedName>
    <definedName name="ht" localSheetId="35" hidden="1">{"'Sheet1'!$L$16"}</definedName>
    <definedName name="ht" localSheetId="7" hidden="1">{"'Sheet1'!$L$16"}</definedName>
    <definedName name="ht" localSheetId="15" hidden="1">{"'Sheet1'!$L$16"}</definedName>
    <definedName name="ht" localSheetId="19" hidden="1">{"'Sheet1'!$L$16"}</definedName>
    <definedName name="ht" localSheetId="27" hidden="1">{"'Sheet1'!$L$16"}</definedName>
    <definedName name="ht" localSheetId="12" hidden="1">{"'Sheet1'!$L$16"}</definedName>
    <definedName name="ht" localSheetId="36" hidden="1">{"'Sheet1'!$L$16"}</definedName>
    <definedName name="ht" localSheetId="8" hidden="1">{"'Sheet1'!$L$16"}</definedName>
    <definedName name="ht" localSheetId="17" hidden="1">{"'Sheet1'!$L$16"}</definedName>
    <definedName name="ht" localSheetId="21" hidden="1">{"'Sheet1'!$L$16"}</definedName>
    <definedName name="ht" localSheetId="30" hidden="1">{"'Sheet1'!$L$16"}</definedName>
    <definedName name="ht" localSheetId="40" hidden="1">{"'Sheet1'!$L$16"}</definedName>
    <definedName name="ht" localSheetId="43" hidden="1">{"'Sheet1'!$L$16"}</definedName>
    <definedName name="ht" hidden="1">{"'Sheet1'!$L$16"}</definedName>
    <definedName name="HTML_CodePage" hidden="1">950</definedName>
    <definedName name="HTML_Control" localSheetId="34" hidden="1">{"'Sheet1'!$L$16"}</definedName>
    <definedName name="HTML_Control" localSheetId="33" hidden="1">{"'Sheet1'!$L$16"}</definedName>
    <definedName name="HTML_Control" localSheetId="22" hidden="1">{"'Sheet1'!$L$16"}</definedName>
    <definedName name="HTML_Control" localSheetId="26" hidden="1">{"'Sheet1'!$L$16"}</definedName>
    <definedName name="HTML_Control" localSheetId="4" hidden="1">{"'Sheet1'!$L$16"}</definedName>
    <definedName name="HTML_Control" localSheetId="31" hidden="1">{"'Sheet1'!$L$16"}</definedName>
    <definedName name="HTML_Control" localSheetId="38" hidden="1">{"'Sheet1'!$L$16"}</definedName>
    <definedName name="HTML_Control" localSheetId="41" hidden="1">{"'Sheet1'!$L$16"}</definedName>
    <definedName name="HTML_Control" localSheetId="44" hidden="1">{"'Sheet1'!$L$16"}</definedName>
    <definedName name="HTML_Control" localSheetId="10" hidden="1">{"'Sheet1'!$L$16"}</definedName>
    <definedName name="HTML_Control" localSheetId="35" hidden="1">{"'Sheet1'!$L$16"}</definedName>
    <definedName name="HTML_Control" localSheetId="7" hidden="1">{"'Sheet1'!$L$16"}</definedName>
    <definedName name="HTML_Control" localSheetId="15" hidden="1">{"'Sheet1'!$L$16"}</definedName>
    <definedName name="HTML_Control" localSheetId="19" hidden="1">{"'Sheet1'!$L$16"}</definedName>
    <definedName name="HTML_Control" localSheetId="27" hidden="1">{"'Sheet1'!$L$16"}</definedName>
    <definedName name="HTML_Control" localSheetId="12" hidden="1">{"'Sheet1'!$L$16"}</definedName>
    <definedName name="HTML_Control" localSheetId="36" hidden="1">{"'Sheet1'!$L$16"}</definedName>
    <definedName name="HTML_Control" localSheetId="8" hidden="1">{"'Sheet1'!$L$16"}</definedName>
    <definedName name="HTML_Control" localSheetId="17" hidden="1">{"'Sheet1'!$L$16"}</definedName>
    <definedName name="HTML_Control" localSheetId="21" hidden="1">{"'Sheet1'!$L$16"}</definedName>
    <definedName name="HTML_Control" localSheetId="30" hidden="1">{"'Sheet1'!$L$16"}</definedName>
    <definedName name="HTML_Control" localSheetId="40" hidden="1">{"'Sheet1'!$L$16"}</definedName>
    <definedName name="HTML_Control" localSheetId="4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33">#REF!</definedName>
    <definedName name="IDLAB_COST" localSheetId="22">#REF!</definedName>
    <definedName name="IDLAB_COST" localSheetId="26">#REF!</definedName>
    <definedName name="IDLAB_COST" localSheetId="20">#REF!</definedName>
    <definedName name="IDLAB_COST" localSheetId="4">#REF!</definedName>
    <definedName name="IDLAB_COST" localSheetId="31">#REF!</definedName>
    <definedName name="IDLAB_COST" localSheetId="18">#REF!</definedName>
    <definedName name="IDLAB_COST" localSheetId="19">#REF!</definedName>
    <definedName name="IDLAB_COST" localSheetId="21">#REF!</definedName>
    <definedName name="IDLAB_COST">#REF!</definedName>
    <definedName name="IND_LAB" localSheetId="33">#REF!</definedName>
    <definedName name="IND_LAB" localSheetId="22">#REF!</definedName>
    <definedName name="IND_LAB" localSheetId="26">#REF!</definedName>
    <definedName name="IND_LAB" localSheetId="20">#REF!</definedName>
    <definedName name="IND_LAB" localSheetId="4">#REF!</definedName>
    <definedName name="IND_LAB" localSheetId="31">#REF!</definedName>
    <definedName name="IND_LAB" localSheetId="18">#REF!</definedName>
    <definedName name="IND_LAB" localSheetId="19">#REF!</definedName>
    <definedName name="IND_LAB" localSheetId="21">#REF!</definedName>
    <definedName name="IND_LAB">#REF!</definedName>
    <definedName name="INDMANP" localSheetId="33">#REF!</definedName>
    <definedName name="INDMANP" localSheetId="22">#REF!</definedName>
    <definedName name="INDMANP" localSheetId="26">#REF!</definedName>
    <definedName name="INDMANP" localSheetId="20">#REF!</definedName>
    <definedName name="INDMANP" localSheetId="4">#REF!</definedName>
    <definedName name="INDMANP" localSheetId="31">#REF!</definedName>
    <definedName name="INDMANP" localSheetId="18">#REF!</definedName>
    <definedName name="INDMANP" localSheetId="19">#REF!</definedName>
    <definedName name="INDMANP" localSheetId="21">#REF!</definedName>
    <definedName name="INDMANP">#REF!</definedName>
    <definedName name="K" localSheetId="33">#REF!</definedName>
    <definedName name="K" localSheetId="22">#REF!</definedName>
    <definedName name="K" localSheetId="26">#REF!</definedName>
    <definedName name="K" localSheetId="20">#REF!</definedName>
    <definedName name="K" localSheetId="4">#REF!</definedName>
    <definedName name="K" localSheetId="31">#REF!</definedName>
    <definedName name="K" localSheetId="18">#REF!</definedName>
    <definedName name="K" localSheetId="19">#REF!</definedName>
    <definedName name="K" localSheetId="21">#REF!</definedName>
    <definedName name="K">#REF!</definedName>
    <definedName name="KVC" localSheetId="33">#REF!</definedName>
    <definedName name="KVC" localSheetId="22">#REF!</definedName>
    <definedName name="KVC" localSheetId="26">#REF!</definedName>
    <definedName name="KVC" localSheetId="20">#REF!</definedName>
    <definedName name="KVC" localSheetId="4">#REF!</definedName>
    <definedName name="KVC" localSheetId="31">#REF!</definedName>
    <definedName name="KVC" localSheetId="18">#REF!</definedName>
    <definedName name="KVC" localSheetId="19">#REF!</definedName>
    <definedName name="KVC" localSheetId="21">#REF!</definedName>
    <definedName name="KVC">#REF!</definedName>
    <definedName name="L" localSheetId="33">#REF!</definedName>
    <definedName name="L" localSheetId="22">#REF!</definedName>
    <definedName name="L" localSheetId="26">#REF!</definedName>
    <definedName name="L" localSheetId="20">#REF!</definedName>
    <definedName name="L" localSheetId="4">#REF!</definedName>
    <definedName name="L" localSheetId="31">#REF!</definedName>
    <definedName name="L" localSheetId="18">#REF!</definedName>
    <definedName name="L" localSheetId="19">#REF!</definedName>
    <definedName name="L" localSheetId="21">#REF!</definedName>
    <definedName name="L">#REF!</definedName>
    <definedName name="lVC" localSheetId="33">#REF!</definedName>
    <definedName name="lVC" localSheetId="22">#REF!</definedName>
    <definedName name="lVC" localSheetId="26">#REF!</definedName>
    <definedName name="lVC" localSheetId="20">#REF!</definedName>
    <definedName name="lVC" localSheetId="4">#REF!</definedName>
    <definedName name="lVC" localSheetId="31">#REF!</definedName>
    <definedName name="lVC" localSheetId="18">#REF!</definedName>
    <definedName name="lVC" localSheetId="19">#REF!</definedName>
    <definedName name="lVC" localSheetId="21">#REF!</definedName>
    <definedName name="lVC">#REF!</definedName>
    <definedName name="MAJ_CON_EQP" localSheetId="33">#REF!</definedName>
    <definedName name="MAJ_CON_EQP" localSheetId="22">#REF!</definedName>
    <definedName name="MAJ_CON_EQP" localSheetId="26">#REF!</definedName>
    <definedName name="MAJ_CON_EQP" localSheetId="20">#REF!</definedName>
    <definedName name="MAJ_CON_EQP" localSheetId="4">#REF!</definedName>
    <definedName name="MAJ_CON_EQP" localSheetId="31">#REF!</definedName>
    <definedName name="MAJ_CON_EQP" localSheetId="18">#REF!</definedName>
    <definedName name="MAJ_CON_EQP" localSheetId="19">#REF!</definedName>
    <definedName name="MAJ_CON_EQP" localSheetId="21">#REF!</definedName>
    <definedName name="MAJ_CON_EQP">#REF!</definedName>
    <definedName name="MG_A" localSheetId="33">#REF!</definedName>
    <definedName name="MG_A" localSheetId="22">#REF!</definedName>
    <definedName name="MG_A" localSheetId="26">#REF!</definedName>
    <definedName name="MG_A" localSheetId="20">#REF!</definedName>
    <definedName name="MG_A" localSheetId="4">#REF!</definedName>
    <definedName name="MG_A" localSheetId="31">#REF!</definedName>
    <definedName name="MG_A" localSheetId="18">#REF!</definedName>
    <definedName name="MG_A" localSheetId="19">#REF!</definedName>
    <definedName name="MG_A" localSheetId="21">#REF!</definedName>
    <definedName name="MG_A">#REF!</definedName>
    <definedName name="NCcap0.7" localSheetId="33">#REF!</definedName>
    <definedName name="NCcap0.7" localSheetId="22">#REF!</definedName>
    <definedName name="NCcap0.7" localSheetId="26">#REF!</definedName>
    <definedName name="NCcap0.7" localSheetId="20">#REF!</definedName>
    <definedName name="NCcap0.7" localSheetId="4">#REF!</definedName>
    <definedName name="NCcap0.7" localSheetId="31">#REF!</definedName>
    <definedName name="NCcap0.7" localSheetId="18">#REF!</definedName>
    <definedName name="NCcap0.7" localSheetId="19">#REF!</definedName>
    <definedName name="NCcap0.7" localSheetId="21">#REF!</definedName>
    <definedName name="NCcap0.7">#REF!</definedName>
    <definedName name="NCcap1" localSheetId="33">#REF!</definedName>
    <definedName name="NCcap1" localSheetId="22">#REF!</definedName>
    <definedName name="NCcap1" localSheetId="26">#REF!</definedName>
    <definedName name="NCcap1" localSheetId="20">#REF!</definedName>
    <definedName name="NCcap1" localSheetId="4">#REF!</definedName>
    <definedName name="NCcap1" localSheetId="31">#REF!</definedName>
    <definedName name="NCcap1" localSheetId="18">#REF!</definedName>
    <definedName name="NCcap1" localSheetId="19">#REF!</definedName>
    <definedName name="NCcap1" localSheetId="21">#REF!</definedName>
    <definedName name="NCcap1">#REF!</definedName>
    <definedName name="NET" localSheetId="33">#REF!</definedName>
    <definedName name="NET" localSheetId="22">#REF!</definedName>
    <definedName name="NET" localSheetId="26">#REF!</definedName>
    <definedName name="NET" localSheetId="20">#REF!</definedName>
    <definedName name="NET" localSheetId="4">#REF!</definedName>
    <definedName name="NET" localSheetId="31">#REF!</definedName>
    <definedName name="NET" localSheetId="18">#REF!</definedName>
    <definedName name="NET" localSheetId="19">#REF!</definedName>
    <definedName name="NET" localSheetId="21">#REF!</definedName>
    <definedName name="NET">#REF!</definedName>
    <definedName name="NET_1" localSheetId="33">#REF!</definedName>
    <definedName name="NET_1" localSheetId="22">#REF!</definedName>
    <definedName name="NET_1" localSheetId="26">#REF!</definedName>
    <definedName name="NET_1" localSheetId="20">#REF!</definedName>
    <definedName name="NET_1" localSheetId="4">#REF!</definedName>
    <definedName name="NET_1" localSheetId="31">#REF!</definedName>
    <definedName name="NET_1" localSheetId="18">#REF!</definedName>
    <definedName name="NET_1" localSheetId="19">#REF!</definedName>
    <definedName name="NET_1" localSheetId="21">#REF!</definedName>
    <definedName name="NET_1">#REF!</definedName>
    <definedName name="NET_ANA" localSheetId="33">#REF!</definedName>
    <definedName name="NET_ANA" localSheetId="22">#REF!</definedName>
    <definedName name="NET_ANA" localSheetId="26">#REF!</definedName>
    <definedName name="NET_ANA" localSheetId="20">#REF!</definedName>
    <definedName name="NET_ANA" localSheetId="4">#REF!</definedName>
    <definedName name="NET_ANA" localSheetId="31">#REF!</definedName>
    <definedName name="NET_ANA" localSheetId="18">#REF!</definedName>
    <definedName name="NET_ANA" localSheetId="19">#REF!</definedName>
    <definedName name="NET_ANA" localSheetId="21">#REF!</definedName>
    <definedName name="NET_ANA">#REF!</definedName>
    <definedName name="NET_ANA_1" localSheetId="33">#REF!</definedName>
    <definedName name="NET_ANA_1" localSheetId="22">#REF!</definedName>
    <definedName name="NET_ANA_1" localSheetId="26">#REF!</definedName>
    <definedName name="NET_ANA_1" localSheetId="20">#REF!</definedName>
    <definedName name="NET_ANA_1" localSheetId="4">#REF!</definedName>
    <definedName name="NET_ANA_1" localSheetId="31">#REF!</definedName>
    <definedName name="NET_ANA_1" localSheetId="18">#REF!</definedName>
    <definedName name="NET_ANA_1" localSheetId="19">#REF!</definedName>
    <definedName name="NET_ANA_1" localSheetId="21">#REF!</definedName>
    <definedName name="NET_ANA_1">#REF!</definedName>
    <definedName name="NET_ANA_2" localSheetId="33">#REF!</definedName>
    <definedName name="NET_ANA_2" localSheetId="22">#REF!</definedName>
    <definedName name="NET_ANA_2" localSheetId="26">#REF!</definedName>
    <definedName name="NET_ANA_2" localSheetId="20">#REF!</definedName>
    <definedName name="NET_ANA_2" localSheetId="4">#REF!</definedName>
    <definedName name="NET_ANA_2" localSheetId="31">#REF!</definedName>
    <definedName name="NET_ANA_2" localSheetId="18">#REF!</definedName>
    <definedName name="NET_ANA_2" localSheetId="19">#REF!</definedName>
    <definedName name="NET_ANA_2" localSheetId="21">#REF!</definedName>
    <definedName name="NET_ANA_2">#REF!</definedName>
    <definedName name="O" localSheetId="33">#REF!</definedName>
    <definedName name="O" localSheetId="22">#REF!</definedName>
    <definedName name="O" localSheetId="26">#REF!</definedName>
    <definedName name="O" localSheetId="20">#REF!</definedName>
    <definedName name="O" localSheetId="4">#REF!</definedName>
    <definedName name="O" localSheetId="31">#REF!</definedName>
    <definedName name="O" localSheetId="18">#REF!</definedName>
    <definedName name="O" localSheetId="19">#REF!</definedName>
    <definedName name="O" localSheetId="21">#REF!</definedName>
    <definedName name="O">#REF!</definedName>
    <definedName name="PRICE" localSheetId="33">#REF!</definedName>
    <definedName name="PRICE" localSheetId="22">#REF!</definedName>
    <definedName name="PRICE" localSheetId="26">#REF!</definedName>
    <definedName name="PRICE" localSheetId="20">#REF!</definedName>
    <definedName name="PRICE" localSheetId="4">#REF!</definedName>
    <definedName name="PRICE" localSheetId="31">#REF!</definedName>
    <definedName name="PRICE" localSheetId="18">#REF!</definedName>
    <definedName name="PRICE" localSheetId="19">#REF!</definedName>
    <definedName name="PRICE" localSheetId="21">#REF!</definedName>
    <definedName name="PRICE">#REF!</definedName>
    <definedName name="PRICE1" localSheetId="33">#REF!</definedName>
    <definedName name="PRICE1" localSheetId="22">#REF!</definedName>
    <definedName name="PRICE1" localSheetId="26">#REF!</definedName>
    <definedName name="PRICE1" localSheetId="20">#REF!</definedName>
    <definedName name="PRICE1" localSheetId="4">#REF!</definedName>
    <definedName name="PRICE1" localSheetId="31">#REF!</definedName>
    <definedName name="PRICE1" localSheetId="18">#REF!</definedName>
    <definedName name="PRICE1" localSheetId="19">#REF!</definedName>
    <definedName name="PRICE1" localSheetId="21">#REF!</definedName>
    <definedName name="PRICE1">#REF!</definedName>
    <definedName name="_xlnm.Print_Area" localSheetId="33">#REF!</definedName>
    <definedName name="_xlnm.Print_Area" localSheetId="26">#REF!</definedName>
    <definedName name="_xlnm.Print_Area" localSheetId="31">#REF!</definedName>
    <definedName name="_xlnm.Print_Area" localSheetId="12">'Vật liệu'!$A$1:$F$55</definedName>
    <definedName name="_xlnm.Print_Area">#REF!</definedName>
    <definedName name="_xlnm.Print_Titles" localSheetId="32">'Data_tinh thu'!$A$6:$IV$9</definedName>
    <definedName name="_xlnm.Print_Titles" localSheetId="42">'DC DK thuong xuyen'!$3:$3</definedName>
    <definedName name="_xlnm.Print_Titles" localSheetId="45">'DC_DK bo sung'!$3:$3</definedName>
    <definedName name="_xlnm.Print_Titles" localSheetId="28">'Dcu Trung Uong'!$3:$3</definedName>
    <definedName name="_xlnm.Print_Titles" localSheetId="33">'Don gia Chuyen doi DLDC'!$A$3:$IV$4</definedName>
    <definedName name="_xlnm.Print_Titles" localSheetId="22">'Don gia XCSDL DC'!$3:$5</definedName>
    <definedName name="_xlnm.Print_Titles" localSheetId="26">'Don gia XCSDL DC CAP TW'!$A$3:$IU$4</definedName>
    <definedName name="_xlnm.Print_Titles" localSheetId="11">'Dụng cụ'!$13:$13</definedName>
    <definedName name="_xlnm.Print_Titles" localSheetId="37">'Dụng cụ 17-&gt;75'!$3:$3</definedName>
    <definedName name="_xlnm.Print_Titles" localSheetId="6">'Dụng cụ DL Nen 17--&gt;75'!$3:$3</definedName>
    <definedName name="_xlnm.Print_Titles" localSheetId="16">'Dụng cụ Nen'!$3:$3</definedName>
    <definedName name="_xlnm.Print_Titles" localSheetId="2">Gia_Dcu!$3:$3</definedName>
    <definedName name="_xlnm.Print_Titles" localSheetId="4">Gia_Phanmem!$3:$3</definedName>
    <definedName name="_xlnm.Print_Titles" localSheetId="1">Gia_Tbi!$3:$3</definedName>
    <definedName name="_xlnm.Print_Titles" localSheetId="3">Gia_VLieu!$3:$3</definedName>
    <definedName name="_xlnm.Print_Titles" localSheetId="31">KHOILUONG!$A$3:$IX$6</definedName>
    <definedName name="_xlnm.Print_Titles" localSheetId="0">L_CBan!$3:$5</definedName>
    <definedName name="_xlnm.Print_Titles" localSheetId="9">'Nhân công'!$3:$3</definedName>
    <definedName name="_xlnm.Print_Titles" localSheetId="52">Tbi!$3:$3</definedName>
    <definedName name="_xlnm.Print_Titles" localSheetId="10">'Thiết bị'!$3:$3</definedName>
    <definedName name="_xlnm.Print_Titles" localSheetId="15">'Thiết bị Nen'!$3:$3</definedName>
    <definedName name="_xlnm.Print_Titles" localSheetId="12">'Vật liệu'!$16:$16</definedName>
    <definedName name="_xlnm.Print_Titles" localSheetId="53">VLieu!$3:$3</definedName>
    <definedName name="_xlnm.Print_Titles">#REF!</definedName>
    <definedName name="Print_Titles_MI" localSheetId="33">#REF!</definedName>
    <definedName name="Print_Titles_MI" localSheetId="22">#REF!</definedName>
    <definedName name="Print_Titles_MI" localSheetId="26">#REF!</definedName>
    <definedName name="Print_Titles_MI" localSheetId="20">#REF!</definedName>
    <definedName name="Print_Titles_MI" localSheetId="4">#REF!</definedName>
    <definedName name="Print_Titles_MI" localSheetId="31">#REF!</definedName>
    <definedName name="Print_Titles_MI" localSheetId="18">#REF!</definedName>
    <definedName name="Print_Titles_MI" localSheetId="19">#REF!</definedName>
    <definedName name="Print_Titles_MI" localSheetId="21">#REF!</definedName>
    <definedName name="Print_Titles_MI">#REF!</definedName>
    <definedName name="PRINTA" localSheetId="33">#REF!</definedName>
    <definedName name="PRINTA" localSheetId="22">#REF!</definedName>
    <definedName name="PRINTA" localSheetId="26">#REF!</definedName>
    <definedName name="PRINTA" localSheetId="20">#REF!</definedName>
    <definedName name="PRINTA" localSheetId="4">#REF!</definedName>
    <definedName name="PRINTA" localSheetId="31">#REF!</definedName>
    <definedName name="PRINTA" localSheetId="18">#REF!</definedName>
    <definedName name="PRINTA" localSheetId="19">#REF!</definedName>
    <definedName name="PRINTA" localSheetId="21">#REF!</definedName>
    <definedName name="PRINTA">#REF!</definedName>
    <definedName name="PRINTB" localSheetId="33">#REF!</definedName>
    <definedName name="PRINTB" localSheetId="22">#REF!</definedName>
    <definedName name="PRINTB" localSheetId="26">#REF!</definedName>
    <definedName name="PRINTB" localSheetId="20">#REF!</definedName>
    <definedName name="PRINTB" localSheetId="4">#REF!</definedName>
    <definedName name="PRINTB" localSheetId="31">#REF!</definedName>
    <definedName name="PRINTB" localSheetId="18">#REF!</definedName>
    <definedName name="PRINTB" localSheetId="19">#REF!</definedName>
    <definedName name="PRINTB" localSheetId="21">#REF!</definedName>
    <definedName name="PRINTB">#REF!</definedName>
    <definedName name="PRINTC" localSheetId="33">#REF!</definedName>
    <definedName name="PRINTC" localSheetId="22">#REF!</definedName>
    <definedName name="PRINTC" localSheetId="26">#REF!</definedName>
    <definedName name="PRINTC" localSheetId="20">#REF!</definedName>
    <definedName name="PRINTC" localSheetId="4">#REF!</definedName>
    <definedName name="PRINTC" localSheetId="31">#REF!</definedName>
    <definedName name="PRINTC" localSheetId="18">#REF!</definedName>
    <definedName name="PRINTC" localSheetId="19">#REF!</definedName>
    <definedName name="PRINTC" localSheetId="21">#REF!</definedName>
    <definedName name="PRINTC">#REF!</definedName>
    <definedName name="PROPOSAL" localSheetId="33">#REF!</definedName>
    <definedName name="PROPOSAL" localSheetId="22">#REF!</definedName>
    <definedName name="PROPOSAL" localSheetId="26">#REF!</definedName>
    <definedName name="PROPOSAL" localSheetId="20">#REF!</definedName>
    <definedName name="PROPOSAL" localSheetId="4">#REF!</definedName>
    <definedName name="PROPOSAL" localSheetId="31">#REF!</definedName>
    <definedName name="PROPOSAL" localSheetId="18">#REF!</definedName>
    <definedName name="PROPOSAL" localSheetId="19">#REF!</definedName>
    <definedName name="PROPOSAL" localSheetId="21">#REF!</definedName>
    <definedName name="PROPOSAL">#REF!</definedName>
    <definedName name="RECOUT">#N/A</definedName>
    <definedName name="RFP003A" localSheetId="33">#REF!</definedName>
    <definedName name="RFP003A" localSheetId="22">#REF!</definedName>
    <definedName name="RFP003A" localSheetId="26">#REF!</definedName>
    <definedName name="RFP003A" localSheetId="20">#REF!</definedName>
    <definedName name="RFP003A" localSheetId="4">#REF!</definedName>
    <definedName name="RFP003A" localSheetId="31">#REF!</definedName>
    <definedName name="RFP003A" localSheetId="18">#REF!</definedName>
    <definedName name="RFP003A" localSheetId="19">#REF!</definedName>
    <definedName name="RFP003A" localSheetId="21">#REF!</definedName>
    <definedName name="RFP003A">#REF!</definedName>
    <definedName name="RFP003B" localSheetId="33">#REF!</definedName>
    <definedName name="RFP003B" localSheetId="22">#REF!</definedName>
    <definedName name="RFP003B" localSheetId="26">#REF!</definedName>
    <definedName name="RFP003B" localSheetId="20">#REF!</definedName>
    <definedName name="RFP003B" localSheetId="4">#REF!</definedName>
    <definedName name="RFP003B" localSheetId="31">#REF!</definedName>
    <definedName name="RFP003B" localSheetId="18">#REF!</definedName>
    <definedName name="RFP003B" localSheetId="19">#REF!</definedName>
    <definedName name="RFP003B" localSheetId="21">#REF!</definedName>
    <definedName name="RFP003B">#REF!</definedName>
    <definedName name="RFP003C" localSheetId="33">#REF!</definedName>
    <definedName name="RFP003C" localSheetId="22">#REF!</definedName>
    <definedName name="RFP003C" localSheetId="26">#REF!</definedName>
    <definedName name="RFP003C" localSheetId="20">#REF!</definedName>
    <definedName name="RFP003C" localSheetId="4">#REF!</definedName>
    <definedName name="RFP003C" localSheetId="31">#REF!</definedName>
    <definedName name="RFP003C" localSheetId="18">#REF!</definedName>
    <definedName name="RFP003C" localSheetId="19">#REF!</definedName>
    <definedName name="RFP003C" localSheetId="21">#REF!</definedName>
    <definedName name="RFP003C">#REF!</definedName>
    <definedName name="RFP003D" localSheetId="33">#REF!</definedName>
    <definedName name="RFP003D" localSheetId="22">#REF!</definedName>
    <definedName name="RFP003D" localSheetId="26">#REF!</definedName>
    <definedName name="RFP003D" localSheetId="20">#REF!</definedName>
    <definedName name="RFP003D" localSheetId="4">#REF!</definedName>
    <definedName name="RFP003D" localSheetId="31">#REF!</definedName>
    <definedName name="RFP003D" localSheetId="18">#REF!</definedName>
    <definedName name="RFP003D" localSheetId="19">#REF!</definedName>
    <definedName name="RFP003D" localSheetId="21">#REF!</definedName>
    <definedName name="RFP003D">#REF!</definedName>
    <definedName name="RFP003E" localSheetId="33">#REF!</definedName>
    <definedName name="RFP003E" localSheetId="22">#REF!</definedName>
    <definedName name="RFP003E" localSheetId="26">#REF!</definedName>
    <definedName name="RFP003E" localSheetId="20">#REF!</definedName>
    <definedName name="RFP003E" localSheetId="4">#REF!</definedName>
    <definedName name="RFP003E" localSheetId="31">#REF!</definedName>
    <definedName name="RFP003E" localSheetId="18">#REF!</definedName>
    <definedName name="RFP003E" localSheetId="19">#REF!</definedName>
    <definedName name="RFP003E" localSheetId="21">#REF!</definedName>
    <definedName name="RFP003E">#REF!</definedName>
    <definedName name="RFP003F" localSheetId="33">#REF!</definedName>
    <definedName name="RFP003F" localSheetId="22">#REF!</definedName>
    <definedName name="RFP003F" localSheetId="26">#REF!</definedName>
    <definedName name="RFP003F" localSheetId="20">#REF!</definedName>
    <definedName name="RFP003F" localSheetId="4">#REF!</definedName>
    <definedName name="RFP003F" localSheetId="31">#REF!</definedName>
    <definedName name="RFP003F" localSheetId="18">#REF!</definedName>
    <definedName name="RFP003F" localSheetId="19">#REF!</definedName>
    <definedName name="RFP003F" localSheetId="21">#REF!</definedName>
    <definedName name="RFP003F">#REF!</definedName>
    <definedName name="SCH" localSheetId="33">#REF!</definedName>
    <definedName name="SCH" localSheetId="22">#REF!</definedName>
    <definedName name="SCH" localSheetId="26">#REF!</definedName>
    <definedName name="SCH" localSheetId="20">#REF!</definedName>
    <definedName name="SCH" localSheetId="4">#REF!</definedName>
    <definedName name="SCH" localSheetId="31">#REF!</definedName>
    <definedName name="SCH" localSheetId="18">#REF!</definedName>
    <definedName name="SCH" localSheetId="19">#REF!</definedName>
    <definedName name="SCH" localSheetId="21">#REF!</definedName>
    <definedName name="SCH">#REF!</definedName>
    <definedName name="SIZE" localSheetId="33">#REF!</definedName>
    <definedName name="SIZE" localSheetId="22">#REF!</definedName>
    <definedName name="SIZE" localSheetId="26">#REF!</definedName>
    <definedName name="SIZE" localSheetId="20">#REF!</definedName>
    <definedName name="SIZE" localSheetId="4">#REF!</definedName>
    <definedName name="SIZE" localSheetId="31">#REF!</definedName>
    <definedName name="SIZE" localSheetId="18">#REF!</definedName>
    <definedName name="SIZE" localSheetId="19">#REF!</definedName>
    <definedName name="SIZE" localSheetId="21">#REF!</definedName>
    <definedName name="SIZE">#REF!</definedName>
    <definedName name="SORT" localSheetId="33">#REF!</definedName>
    <definedName name="SORT" localSheetId="22">#REF!</definedName>
    <definedName name="SORT" localSheetId="26">#REF!</definedName>
    <definedName name="SORT" localSheetId="20">#REF!</definedName>
    <definedName name="SORT" localSheetId="4">#REF!</definedName>
    <definedName name="SORT" localSheetId="31">#REF!</definedName>
    <definedName name="SORT" localSheetId="18">#REF!</definedName>
    <definedName name="SORT" localSheetId="19">#REF!</definedName>
    <definedName name="SORT" localSheetId="21">#REF!</definedName>
    <definedName name="SORT">#REF!</definedName>
    <definedName name="SPEC" localSheetId="33">#REF!</definedName>
    <definedName name="SPEC" localSheetId="22">#REF!</definedName>
    <definedName name="SPEC" localSheetId="26">#REF!</definedName>
    <definedName name="SPEC" localSheetId="20">#REF!</definedName>
    <definedName name="SPEC" localSheetId="4">#REF!</definedName>
    <definedName name="SPEC" localSheetId="31">#REF!</definedName>
    <definedName name="SPEC" localSheetId="18">#REF!</definedName>
    <definedName name="SPEC" localSheetId="19">#REF!</definedName>
    <definedName name="SPEC" localSheetId="21">#REF!</definedName>
    <definedName name="SPEC">#REF!</definedName>
    <definedName name="SPECSUMMARY" localSheetId="33">#REF!</definedName>
    <definedName name="SPECSUMMARY" localSheetId="22">#REF!</definedName>
    <definedName name="SPECSUMMARY" localSheetId="26">#REF!</definedName>
    <definedName name="SPECSUMMARY" localSheetId="20">#REF!</definedName>
    <definedName name="SPECSUMMARY" localSheetId="4">#REF!</definedName>
    <definedName name="SPECSUMMARY" localSheetId="31">#REF!</definedName>
    <definedName name="SPECSUMMARY" localSheetId="18">#REF!</definedName>
    <definedName name="SPECSUMMARY" localSheetId="19">#REF!</definedName>
    <definedName name="SPECSUMMARY" localSheetId="21">#REF!</definedName>
    <definedName name="SPECSUMMARY">#REF!</definedName>
    <definedName name="Start_1" localSheetId="33">#REF!</definedName>
    <definedName name="Start_1" localSheetId="22">#REF!</definedName>
    <definedName name="Start_1" localSheetId="26">#REF!</definedName>
    <definedName name="Start_1" localSheetId="20">#REF!</definedName>
    <definedName name="Start_1" localSheetId="4">#REF!</definedName>
    <definedName name="Start_1" localSheetId="31">#REF!</definedName>
    <definedName name="Start_1" localSheetId="18">#REF!</definedName>
    <definedName name="Start_1" localSheetId="19">#REF!</definedName>
    <definedName name="Start_1" localSheetId="21">#REF!</definedName>
    <definedName name="Start_1">#REF!</definedName>
    <definedName name="Start_10" localSheetId="33">#REF!</definedName>
    <definedName name="Start_10" localSheetId="22">#REF!</definedName>
    <definedName name="Start_10" localSheetId="26">#REF!</definedName>
    <definedName name="Start_10" localSheetId="20">#REF!</definedName>
    <definedName name="Start_10" localSheetId="4">#REF!</definedName>
    <definedName name="Start_10" localSheetId="31">#REF!</definedName>
    <definedName name="Start_10" localSheetId="18">#REF!</definedName>
    <definedName name="Start_10" localSheetId="19">#REF!</definedName>
    <definedName name="Start_10" localSheetId="21">#REF!</definedName>
    <definedName name="Start_10">#REF!</definedName>
    <definedName name="Start_11" localSheetId="33">#REF!</definedName>
    <definedName name="Start_11" localSheetId="22">#REF!</definedName>
    <definedName name="Start_11" localSheetId="26">#REF!</definedName>
    <definedName name="Start_11" localSheetId="20">#REF!</definedName>
    <definedName name="Start_11" localSheetId="4">#REF!</definedName>
    <definedName name="Start_11" localSheetId="31">#REF!</definedName>
    <definedName name="Start_11" localSheetId="18">#REF!</definedName>
    <definedName name="Start_11" localSheetId="19">#REF!</definedName>
    <definedName name="Start_11" localSheetId="21">#REF!</definedName>
    <definedName name="Start_11">#REF!</definedName>
    <definedName name="Start_12" localSheetId="33">#REF!</definedName>
    <definedName name="Start_12" localSheetId="22">#REF!</definedName>
    <definedName name="Start_12" localSheetId="26">#REF!</definedName>
    <definedName name="Start_12" localSheetId="20">#REF!</definedName>
    <definedName name="Start_12" localSheetId="4">#REF!</definedName>
    <definedName name="Start_12" localSheetId="31">#REF!</definedName>
    <definedName name="Start_12" localSheetId="18">#REF!</definedName>
    <definedName name="Start_12" localSheetId="19">#REF!</definedName>
    <definedName name="Start_12" localSheetId="21">#REF!</definedName>
    <definedName name="Start_12">#REF!</definedName>
    <definedName name="Start_13" localSheetId="33">#REF!</definedName>
    <definedName name="Start_13" localSheetId="22">#REF!</definedName>
    <definedName name="Start_13" localSheetId="26">#REF!</definedName>
    <definedName name="Start_13" localSheetId="20">#REF!</definedName>
    <definedName name="Start_13" localSheetId="4">#REF!</definedName>
    <definedName name="Start_13" localSheetId="31">#REF!</definedName>
    <definedName name="Start_13" localSheetId="18">#REF!</definedName>
    <definedName name="Start_13" localSheetId="19">#REF!</definedName>
    <definedName name="Start_13" localSheetId="21">#REF!</definedName>
    <definedName name="Start_13">#REF!</definedName>
    <definedName name="Start_2" localSheetId="33">#REF!</definedName>
    <definedName name="Start_2" localSheetId="22">#REF!</definedName>
    <definedName name="Start_2" localSheetId="26">#REF!</definedName>
    <definedName name="Start_2" localSheetId="20">#REF!</definedName>
    <definedName name="Start_2" localSheetId="4">#REF!</definedName>
    <definedName name="Start_2" localSheetId="31">#REF!</definedName>
    <definedName name="Start_2" localSheetId="18">#REF!</definedName>
    <definedName name="Start_2" localSheetId="19">#REF!</definedName>
    <definedName name="Start_2" localSheetId="21">#REF!</definedName>
    <definedName name="Start_2">#REF!</definedName>
    <definedName name="Start_3" localSheetId="33">#REF!</definedName>
    <definedName name="Start_3" localSheetId="22">#REF!</definedName>
    <definedName name="Start_3" localSheetId="26">#REF!</definedName>
    <definedName name="Start_3" localSheetId="20">#REF!</definedName>
    <definedName name="Start_3" localSheetId="4">#REF!</definedName>
    <definedName name="Start_3" localSheetId="31">#REF!</definedName>
    <definedName name="Start_3" localSheetId="18">#REF!</definedName>
    <definedName name="Start_3" localSheetId="19">#REF!</definedName>
    <definedName name="Start_3" localSheetId="21">#REF!</definedName>
    <definedName name="Start_3">#REF!</definedName>
    <definedName name="Start_4" localSheetId="33">#REF!</definedName>
    <definedName name="Start_4" localSheetId="22">#REF!</definedName>
    <definedName name="Start_4" localSheetId="26">#REF!</definedName>
    <definedName name="Start_4" localSheetId="20">#REF!</definedName>
    <definedName name="Start_4" localSheetId="4">#REF!</definedName>
    <definedName name="Start_4" localSheetId="31">#REF!</definedName>
    <definedName name="Start_4" localSheetId="18">#REF!</definedName>
    <definedName name="Start_4" localSheetId="19">#REF!</definedName>
    <definedName name="Start_4" localSheetId="21">#REF!</definedName>
    <definedName name="Start_4">#REF!</definedName>
    <definedName name="Start_5" localSheetId="33">#REF!</definedName>
    <definedName name="Start_5" localSheetId="22">#REF!</definedName>
    <definedName name="Start_5" localSheetId="26">#REF!</definedName>
    <definedName name="Start_5" localSheetId="20">#REF!</definedName>
    <definedName name="Start_5" localSheetId="4">#REF!</definedName>
    <definedName name="Start_5" localSheetId="31">#REF!</definedName>
    <definedName name="Start_5" localSheetId="18">#REF!</definedName>
    <definedName name="Start_5" localSheetId="19">#REF!</definedName>
    <definedName name="Start_5" localSheetId="21">#REF!</definedName>
    <definedName name="Start_5">#REF!</definedName>
    <definedName name="Start_6" localSheetId="33">#REF!</definedName>
    <definedName name="Start_6" localSheetId="22">#REF!</definedName>
    <definedName name="Start_6" localSheetId="26">#REF!</definedName>
    <definedName name="Start_6" localSheetId="20">#REF!</definedName>
    <definedName name="Start_6" localSheetId="4">#REF!</definedName>
    <definedName name="Start_6" localSheetId="31">#REF!</definedName>
    <definedName name="Start_6" localSheetId="18">#REF!</definedName>
    <definedName name="Start_6" localSheetId="19">#REF!</definedName>
    <definedName name="Start_6" localSheetId="21">#REF!</definedName>
    <definedName name="Start_6">#REF!</definedName>
    <definedName name="Start_7" localSheetId="33">#REF!</definedName>
    <definedName name="Start_7" localSheetId="22">#REF!</definedName>
    <definedName name="Start_7" localSheetId="26">#REF!</definedName>
    <definedName name="Start_7" localSheetId="20">#REF!</definedName>
    <definedName name="Start_7" localSheetId="4">#REF!</definedName>
    <definedName name="Start_7" localSheetId="31">#REF!</definedName>
    <definedName name="Start_7" localSheetId="18">#REF!</definedName>
    <definedName name="Start_7" localSheetId="19">#REF!</definedName>
    <definedName name="Start_7" localSheetId="21">#REF!</definedName>
    <definedName name="Start_7">#REF!</definedName>
    <definedName name="Start_8" localSheetId="33">#REF!</definedName>
    <definedName name="Start_8" localSheetId="22">#REF!</definedName>
    <definedName name="Start_8" localSheetId="26">#REF!</definedName>
    <definedName name="Start_8" localSheetId="20">#REF!</definedName>
    <definedName name="Start_8" localSheetId="4">#REF!</definedName>
    <definedName name="Start_8" localSheetId="31">#REF!</definedName>
    <definedName name="Start_8" localSheetId="18">#REF!</definedName>
    <definedName name="Start_8" localSheetId="19">#REF!</definedName>
    <definedName name="Start_8" localSheetId="21">#REF!</definedName>
    <definedName name="Start_8">#REF!</definedName>
    <definedName name="Start_9" localSheetId="33">#REF!</definedName>
    <definedName name="Start_9" localSheetId="22">#REF!</definedName>
    <definedName name="Start_9" localSheetId="26">#REF!</definedName>
    <definedName name="Start_9" localSheetId="20">#REF!</definedName>
    <definedName name="Start_9" localSheetId="4">#REF!</definedName>
    <definedName name="Start_9" localSheetId="31">#REF!</definedName>
    <definedName name="Start_9" localSheetId="18">#REF!</definedName>
    <definedName name="Start_9" localSheetId="19">#REF!</definedName>
    <definedName name="Start_9" localSheetId="21">#REF!</definedName>
    <definedName name="Start_9">#REF!</definedName>
    <definedName name="SUMMARY" localSheetId="33">#REF!</definedName>
    <definedName name="SUMMARY" localSheetId="22">#REF!</definedName>
    <definedName name="SUMMARY" localSheetId="26">#REF!</definedName>
    <definedName name="SUMMARY" localSheetId="20">#REF!</definedName>
    <definedName name="SUMMARY" localSheetId="4">#REF!</definedName>
    <definedName name="SUMMARY" localSheetId="31">#REF!</definedName>
    <definedName name="SUMMARY" localSheetId="18">#REF!</definedName>
    <definedName name="SUMMARY" localSheetId="19">#REF!</definedName>
    <definedName name="SUMMARY" localSheetId="21">#REF!</definedName>
    <definedName name="SUMMARY">#REF!</definedName>
    <definedName name="TG" localSheetId="33">#REF!</definedName>
    <definedName name="TG" localSheetId="22">#REF!</definedName>
    <definedName name="TG" localSheetId="26">#REF!</definedName>
    <definedName name="TG" localSheetId="20">#REF!</definedName>
    <definedName name="TG" localSheetId="4">#REF!</definedName>
    <definedName name="TG" localSheetId="31">#REF!</definedName>
    <definedName name="TG" localSheetId="18">#REF!</definedName>
    <definedName name="TG" localSheetId="19">#REF!</definedName>
    <definedName name="TG" localSheetId="21">#REF!</definedName>
    <definedName name="TG">#REF!</definedName>
    <definedName name="th" localSheetId="33">#REF!</definedName>
    <definedName name="th" localSheetId="22">#REF!</definedName>
    <definedName name="th" localSheetId="26">#REF!</definedName>
    <definedName name="th" localSheetId="20">#REF!</definedName>
    <definedName name="th" localSheetId="4">#REF!</definedName>
    <definedName name="th" localSheetId="31">#REF!</definedName>
    <definedName name="th" localSheetId="18">#REF!</definedName>
    <definedName name="th" localSheetId="19">#REF!</definedName>
    <definedName name="th" localSheetId="21">#REF!</definedName>
    <definedName name="th">#REF!</definedName>
    <definedName name="THI" localSheetId="33">#REF!</definedName>
    <definedName name="THI" localSheetId="22">#REF!</definedName>
    <definedName name="THI" localSheetId="26">#REF!</definedName>
    <definedName name="THI" localSheetId="20">#REF!</definedName>
    <definedName name="THI" localSheetId="4">#REF!</definedName>
    <definedName name="THI" localSheetId="31">#REF!</definedName>
    <definedName name="THI" localSheetId="18">#REF!</definedName>
    <definedName name="THI" localSheetId="19">#REF!</definedName>
    <definedName name="THI" localSheetId="21">#REF!</definedName>
    <definedName name="THI">#REF!</definedName>
    <definedName name="TITAN" localSheetId="33">#REF!</definedName>
    <definedName name="TITAN" localSheetId="22">#REF!</definedName>
    <definedName name="TITAN" localSheetId="26">#REF!</definedName>
    <definedName name="TITAN" localSheetId="20">#REF!</definedName>
    <definedName name="TITAN" localSheetId="4">#REF!</definedName>
    <definedName name="TITAN" localSheetId="31">#REF!</definedName>
    <definedName name="TITAN" localSheetId="18">#REF!</definedName>
    <definedName name="TITAN" localSheetId="19">#REF!</definedName>
    <definedName name="TITAN" localSheetId="21">#REF!</definedName>
    <definedName name="TITAN">#REF!</definedName>
    <definedName name="TPLRP" localSheetId="33">#REF!</definedName>
    <definedName name="TPLRP" localSheetId="22">#REF!</definedName>
    <definedName name="TPLRP" localSheetId="26">#REF!</definedName>
    <definedName name="TPLRP" localSheetId="20">#REF!</definedName>
    <definedName name="TPLRP" localSheetId="4">#REF!</definedName>
    <definedName name="TPLRP" localSheetId="31">#REF!</definedName>
    <definedName name="TPLRP" localSheetId="18">#REF!</definedName>
    <definedName name="TPLRP" localSheetId="19">#REF!</definedName>
    <definedName name="TPLRP" localSheetId="21">#REF!</definedName>
    <definedName name="TPLRP">#REF!</definedName>
    <definedName name="TRADE2" localSheetId="33">#REF!</definedName>
    <definedName name="TRADE2" localSheetId="22">#REF!</definedName>
    <definedName name="TRADE2" localSheetId="26">#REF!</definedName>
    <definedName name="TRADE2" localSheetId="20">#REF!</definedName>
    <definedName name="TRADE2" localSheetId="4">#REF!</definedName>
    <definedName name="TRADE2" localSheetId="31">#REF!</definedName>
    <definedName name="TRADE2" localSheetId="18">#REF!</definedName>
    <definedName name="TRADE2" localSheetId="19">#REF!</definedName>
    <definedName name="TRADE2" localSheetId="21">#REF!</definedName>
    <definedName name="TRADE2">#REF!</definedName>
    <definedName name="ttbt" localSheetId="33">#REF!</definedName>
    <definedName name="ttbt" localSheetId="22">#REF!</definedName>
    <definedName name="ttbt" localSheetId="26">#REF!</definedName>
    <definedName name="ttbt" localSheetId="20">#REF!</definedName>
    <definedName name="ttbt" localSheetId="4">#REF!</definedName>
    <definedName name="ttbt" localSheetId="31">#REF!</definedName>
    <definedName name="ttbt" localSheetId="18">#REF!</definedName>
    <definedName name="ttbt" localSheetId="19">#REF!</definedName>
    <definedName name="ttbt" localSheetId="21">#REF!</definedName>
    <definedName name="ttbt">#REF!</definedName>
    <definedName name="ưqw" localSheetId="33">#REF!</definedName>
    <definedName name="ưqw" localSheetId="26">#REF!</definedName>
    <definedName name="ưqw" localSheetId="20">#REF!</definedName>
    <definedName name="ưqw" localSheetId="4">#REF!</definedName>
    <definedName name="ưqw" localSheetId="18">#REF!</definedName>
    <definedName name="ưqw" localSheetId="19">#REF!</definedName>
    <definedName name="ưqw" localSheetId="21">#REF!</definedName>
    <definedName name="ưqw">#REF!</definedName>
    <definedName name="VARIINST" localSheetId="33">#REF!</definedName>
    <definedName name="VARIINST" localSheetId="22">#REF!</definedName>
    <definedName name="VARIINST" localSheetId="26">#REF!</definedName>
    <definedName name="VARIINST" localSheetId="20">#REF!</definedName>
    <definedName name="VARIINST" localSheetId="4">#REF!</definedName>
    <definedName name="VARIINST" localSheetId="31">#REF!</definedName>
    <definedName name="VARIINST" localSheetId="18">#REF!</definedName>
    <definedName name="VARIINST" localSheetId="19">#REF!</definedName>
    <definedName name="VARIINST" localSheetId="21">#REF!</definedName>
    <definedName name="VARIINST">#REF!</definedName>
    <definedName name="VARIPURC" localSheetId="33">#REF!</definedName>
    <definedName name="VARIPURC" localSheetId="22">#REF!</definedName>
    <definedName name="VARIPURC" localSheetId="26">#REF!</definedName>
    <definedName name="VARIPURC" localSheetId="20">#REF!</definedName>
    <definedName name="VARIPURC" localSheetId="4">#REF!</definedName>
    <definedName name="VARIPURC" localSheetId="31">#REF!</definedName>
    <definedName name="VARIPURC" localSheetId="18">#REF!</definedName>
    <definedName name="VARIPURC" localSheetId="19">#REF!</definedName>
    <definedName name="VARIPURC" localSheetId="21">#REF!</definedName>
    <definedName name="VARIPURC">#REF!</definedName>
    <definedName name="vccot" localSheetId="33">#REF!</definedName>
    <definedName name="vccot" localSheetId="22">#REF!</definedName>
    <definedName name="vccot" localSheetId="26">#REF!</definedName>
    <definedName name="vccot" localSheetId="20">#REF!</definedName>
    <definedName name="vccot" localSheetId="4">#REF!</definedName>
    <definedName name="vccot" localSheetId="31">#REF!</definedName>
    <definedName name="vccot" localSheetId="18">#REF!</definedName>
    <definedName name="vccot" localSheetId="19">#REF!</definedName>
    <definedName name="vccot" localSheetId="21">#REF!</definedName>
    <definedName name="vccot">#REF!</definedName>
    <definedName name="vctb" localSheetId="33">#REF!</definedName>
    <definedName name="vctb" localSheetId="22">#REF!</definedName>
    <definedName name="vctb" localSheetId="26">#REF!</definedName>
    <definedName name="vctb" localSheetId="20">#REF!</definedName>
    <definedName name="vctb" localSheetId="4">#REF!</definedName>
    <definedName name="vctb" localSheetId="31">#REF!</definedName>
    <definedName name="vctb" localSheetId="18">#REF!</definedName>
    <definedName name="vctb" localSheetId="19">#REF!</definedName>
    <definedName name="vctb" localSheetId="21">#REF!</definedName>
    <definedName name="vctb">#REF!</definedName>
    <definedName name="VI" localSheetId="33">#REF!</definedName>
    <definedName name="VI" localSheetId="22">#REF!</definedName>
    <definedName name="VI" localSheetId="26">#REF!</definedName>
    <definedName name="VI" localSheetId="20">#REF!</definedName>
    <definedName name="VI" localSheetId="4">#REF!</definedName>
    <definedName name="VI" localSheetId="31">#REF!</definedName>
    <definedName name="VI" localSheetId="18">#REF!</definedName>
    <definedName name="VI" localSheetId="19">#REF!</definedName>
    <definedName name="VI" localSheetId="21">#REF!</definedName>
    <definedName name="VI">#REF!</definedName>
    <definedName name="Vlcap0.7" localSheetId="33">#REF!</definedName>
    <definedName name="Vlcap0.7" localSheetId="22">#REF!</definedName>
    <definedName name="Vlcap0.7" localSheetId="26">#REF!</definedName>
    <definedName name="Vlcap0.7" localSheetId="20">#REF!</definedName>
    <definedName name="Vlcap0.7" localSheetId="4">#REF!</definedName>
    <definedName name="Vlcap0.7" localSheetId="31">#REF!</definedName>
    <definedName name="Vlcap0.7" localSheetId="18">#REF!</definedName>
    <definedName name="Vlcap0.7" localSheetId="19">#REF!</definedName>
    <definedName name="Vlcap0.7" localSheetId="21">#REF!</definedName>
    <definedName name="Vlcap0.7">#REF!</definedName>
    <definedName name="VLcap1" localSheetId="33">#REF!</definedName>
    <definedName name="VLcap1" localSheetId="22">#REF!</definedName>
    <definedName name="VLcap1" localSheetId="26">#REF!</definedName>
    <definedName name="VLcap1" localSheetId="20">#REF!</definedName>
    <definedName name="VLcap1" localSheetId="4">#REF!</definedName>
    <definedName name="VLcap1" localSheetId="31">#REF!</definedName>
    <definedName name="VLcap1" localSheetId="18">#REF!</definedName>
    <definedName name="VLcap1" localSheetId="19">#REF!</definedName>
    <definedName name="VLcap1" localSheetId="21">#REF!</definedName>
    <definedName name="VLcap1">#REF!</definedName>
    <definedName name="W" localSheetId="33">#REF!</definedName>
    <definedName name="W" localSheetId="22">#REF!</definedName>
    <definedName name="W" localSheetId="26">#REF!</definedName>
    <definedName name="W" localSheetId="20">#REF!</definedName>
    <definedName name="W" localSheetId="4">#REF!</definedName>
    <definedName name="W" localSheetId="31">#REF!</definedName>
    <definedName name="W" localSheetId="18">#REF!</definedName>
    <definedName name="W" localSheetId="19">#REF!</definedName>
    <definedName name="W" localSheetId="21">#REF!</definedName>
    <definedName name="W">#REF!</definedName>
    <definedName name="X" localSheetId="33">#REF!</definedName>
    <definedName name="X" localSheetId="22">#REF!</definedName>
    <definedName name="X" localSheetId="26">#REF!</definedName>
    <definedName name="X" localSheetId="20">#REF!</definedName>
    <definedName name="X" localSheetId="4">#REF!</definedName>
    <definedName name="X" localSheetId="31">#REF!</definedName>
    <definedName name="X" localSheetId="18">#REF!</definedName>
    <definedName name="X" localSheetId="19">#REF!</definedName>
    <definedName name="X" localSheetId="21">#REF!</definedName>
    <definedName name="X">#REF!</definedName>
    <definedName name="ZYX" localSheetId="33">#REF!</definedName>
    <definedName name="ZYX" localSheetId="22">#REF!</definedName>
    <definedName name="ZYX" localSheetId="26">#REF!</definedName>
    <definedName name="ZYX" localSheetId="20">#REF!</definedName>
    <definedName name="ZYX" localSheetId="4">#REF!</definedName>
    <definedName name="ZYX" localSheetId="31">#REF!</definedName>
    <definedName name="ZYX" localSheetId="18">#REF!</definedName>
    <definedName name="ZYX" localSheetId="19">#REF!</definedName>
    <definedName name="ZYX" localSheetId="21">#REF!</definedName>
    <definedName name="ZYX">#REF!</definedName>
    <definedName name="ZZZ" localSheetId="33">#REF!</definedName>
    <definedName name="ZZZ" localSheetId="22">#REF!</definedName>
    <definedName name="ZZZ" localSheetId="26">#REF!</definedName>
    <definedName name="ZZZ" localSheetId="20">#REF!</definedName>
    <definedName name="ZZZ" localSheetId="4">#REF!</definedName>
    <definedName name="ZZZ" localSheetId="31">#REF!</definedName>
    <definedName name="ZZZ" localSheetId="18">#REF!</definedName>
    <definedName name="ZZZ" localSheetId="19">#REF!</definedName>
    <definedName name="ZZZ" localSheetId="21">#REF!</definedName>
    <definedName name="ZZZ">#REF!</definedName>
  </definedNames>
  <calcPr calcId="145621"/>
</workbook>
</file>

<file path=xl/calcChain.xml><?xml version="1.0" encoding="utf-8"?>
<calcChain xmlns="http://schemas.openxmlformats.org/spreadsheetml/2006/main">
  <c r="G178" i="63" l="1"/>
  <c r="G5" i="26"/>
  <c r="F12" i="46" l="1"/>
  <c r="G13" i="47"/>
  <c r="K47" i="63" l="1"/>
  <c r="K42" i="63"/>
  <c r="G8" i="63"/>
  <c r="E30" i="58"/>
  <c r="E29" i="58"/>
  <c r="E28" i="58"/>
  <c r="F11" i="46" l="1"/>
  <c r="F10" i="46"/>
  <c r="F9" i="46"/>
  <c r="F8" i="46"/>
  <c r="F7" i="46"/>
  <c r="F6" i="46"/>
  <c r="F5" i="46"/>
  <c r="F4" i="46"/>
  <c r="K149" i="63"/>
  <c r="K156" i="63"/>
  <c r="K163" i="63"/>
  <c r="K168" i="63"/>
  <c r="K176" i="63"/>
  <c r="G12" i="47"/>
  <c r="G11" i="47"/>
  <c r="G10" i="47"/>
  <c r="G9" i="47"/>
  <c r="G8" i="47"/>
  <c r="G7" i="47"/>
  <c r="G6" i="47"/>
  <c r="G5" i="47"/>
  <c r="G4" i="47"/>
  <c r="I11" i="97" l="1"/>
  <c r="I6" i="97"/>
  <c r="I9" i="97"/>
  <c r="I8" i="97"/>
  <c r="I7" i="97"/>
  <c r="G23" i="63" l="1"/>
  <c r="D8" i="70"/>
  <c r="I7" i="102" l="1"/>
  <c r="G7" i="102"/>
  <c r="I6" i="63"/>
  <c r="I7" i="63"/>
  <c r="G6" i="63" l="1"/>
  <c r="G47" i="63"/>
  <c r="I47" i="63" s="1"/>
  <c r="G49" i="26" l="1"/>
  <c r="B18" i="62" l="1"/>
  <c r="D7" i="99" l="1"/>
  <c r="F7" i="99" s="1"/>
  <c r="P22" i="58"/>
  <c r="G5" i="110"/>
  <c r="D62" i="26"/>
  <c r="J62" i="26" s="1"/>
  <c r="K62" i="26" s="1"/>
  <c r="G10" i="97" l="1"/>
  <c r="I10" i="97" s="1"/>
  <c r="G12" i="97"/>
  <c r="I12" i="97" s="1"/>
  <c r="I8" i="63"/>
  <c r="F8" i="63"/>
  <c r="I178" i="63" l="1"/>
  <c r="E6" i="21"/>
  <c r="D6" i="21"/>
  <c r="P52" i="70" l="1"/>
  <c r="R2" i="70"/>
  <c r="Q1" i="70"/>
  <c r="P40" i="70" s="1"/>
  <c r="P11" i="70" l="1"/>
  <c r="P37" i="70"/>
  <c r="P44" i="70"/>
  <c r="Q2" i="70"/>
  <c r="S2" i="70" s="1"/>
  <c r="T2" i="70" s="1"/>
  <c r="Q3" i="70" l="1"/>
  <c r="D60" i="26"/>
  <c r="J60" i="26" s="1"/>
  <c r="D61" i="26"/>
  <c r="J61" i="26" s="1"/>
  <c r="D63" i="26"/>
  <c r="J63" i="26" s="1"/>
  <c r="D64" i="26"/>
  <c r="J64" i="26" s="1"/>
  <c r="D65" i="26"/>
  <c r="J65" i="26" s="1"/>
  <c r="D59" i="26"/>
  <c r="J59" i="26" s="1"/>
  <c r="N58" i="70" l="1"/>
  <c r="O58" i="70" s="1"/>
  <c r="M58" i="70" s="1"/>
  <c r="N49" i="70"/>
  <c r="O49" i="70" s="1"/>
  <c r="M49" i="70" s="1"/>
  <c r="N54" i="70"/>
  <c r="O54" i="70" s="1"/>
  <c r="M54" i="70" s="1"/>
  <c r="N43" i="70"/>
  <c r="O43" i="70" s="1"/>
  <c r="M43" i="70" s="1"/>
  <c r="N38" i="70"/>
  <c r="O38" i="70" s="1"/>
  <c r="M38" i="70" s="1"/>
  <c r="N20" i="70"/>
  <c r="O20" i="70" s="1"/>
  <c r="M20" i="70" s="1"/>
  <c r="N14" i="70"/>
  <c r="O14" i="70" s="1"/>
  <c r="M14" i="70" s="1"/>
  <c r="N9" i="70"/>
  <c r="O9" i="70" s="1"/>
  <c r="M9" i="70" s="1"/>
  <c r="N60" i="70"/>
  <c r="O60" i="70" s="1"/>
  <c r="M60" i="70" s="1"/>
  <c r="N30" i="70"/>
  <c r="O30" i="70" s="1"/>
  <c r="M30" i="70" s="1"/>
  <c r="N35" i="70"/>
  <c r="O35" i="70" s="1"/>
  <c r="M35" i="70" s="1"/>
  <c r="N12" i="70"/>
  <c r="O12" i="70" s="1"/>
  <c r="M12" i="70" s="1"/>
  <c r="N57" i="70"/>
  <c r="O57" i="70" s="1"/>
  <c r="M57" i="70" s="1"/>
  <c r="N45" i="70"/>
  <c r="O45" i="70" s="1"/>
  <c r="M45" i="70" s="1"/>
  <c r="N22" i="70"/>
  <c r="N17" i="70"/>
  <c r="O17" i="70" s="1"/>
  <c r="M17" i="70" s="1"/>
  <c r="N59" i="70"/>
  <c r="O59" i="70" s="1"/>
  <c r="M59" i="70" s="1"/>
  <c r="N50" i="70"/>
  <c r="O50" i="70" s="1"/>
  <c r="M50" i="70" s="1"/>
  <c r="N48" i="70"/>
  <c r="O48" i="70" s="1"/>
  <c r="M48" i="70" s="1"/>
  <c r="N42" i="70"/>
  <c r="O42" i="70" s="1"/>
  <c r="M42" i="70" s="1"/>
  <c r="N36" i="70"/>
  <c r="O36" i="70" s="1"/>
  <c r="M36" i="70" s="1"/>
  <c r="N24" i="70"/>
  <c r="O24" i="70" s="1"/>
  <c r="M24" i="70" s="1"/>
  <c r="N19" i="70"/>
  <c r="O19" i="70" s="1"/>
  <c r="M19" i="70" s="1"/>
  <c r="N13" i="70"/>
  <c r="O13" i="70" s="1"/>
  <c r="M13" i="70" s="1"/>
  <c r="N8" i="70"/>
  <c r="N51" i="70"/>
  <c r="O51" i="70" s="1"/>
  <c r="M51" i="70" s="1"/>
  <c r="N41" i="70"/>
  <c r="O41" i="70" s="1"/>
  <c r="M41" i="70" s="1"/>
  <c r="N28" i="70"/>
  <c r="O28" i="70" s="1"/>
  <c r="M28" i="70" s="1"/>
  <c r="N18" i="70"/>
  <c r="O18" i="70" s="1"/>
  <c r="M18" i="70" s="1"/>
  <c r="N53" i="70"/>
  <c r="O53" i="70" s="1"/>
  <c r="M53" i="70" s="1"/>
  <c r="N39" i="70"/>
  <c r="O39" i="70" s="1"/>
  <c r="M39" i="70" s="1"/>
  <c r="N27" i="70"/>
  <c r="O27" i="70" s="1"/>
  <c r="M27" i="70" s="1"/>
  <c r="N10" i="70"/>
  <c r="O10" i="70" s="1"/>
  <c r="M10" i="70" s="1"/>
  <c r="K59" i="26"/>
  <c r="O8" i="70" l="1"/>
  <c r="M8" i="70" s="1"/>
  <c r="O22" i="70"/>
  <c r="M22" i="70" s="1"/>
  <c r="C48" i="70" l="1"/>
  <c r="D61" i="62" l="1"/>
  <c r="G34" i="58"/>
  <c r="D43" i="62" l="1"/>
  <c r="D42" i="62"/>
  <c r="D41" i="62"/>
  <c r="D40" i="21"/>
  <c r="D39" i="21"/>
  <c r="D38" i="21"/>
  <c r="E14" i="103"/>
  <c r="F14" i="103" s="1"/>
  <c r="E13" i="103"/>
  <c r="E22" i="103" s="1"/>
  <c r="F22" i="103" s="1"/>
  <c r="E12" i="103"/>
  <c r="E21" i="103" s="1"/>
  <c r="F21" i="103" s="1"/>
  <c r="E11" i="103"/>
  <c r="E20" i="103" s="1"/>
  <c r="F20" i="103" s="1"/>
  <c r="E10" i="103"/>
  <c r="F10" i="103" s="1"/>
  <c r="E9" i="103"/>
  <c r="E18" i="103" s="1"/>
  <c r="E27" i="103" s="1"/>
  <c r="E33" i="103" s="1"/>
  <c r="F33" i="103" s="1"/>
  <c r="E8" i="103"/>
  <c r="E17" i="103" s="1"/>
  <c r="E7" i="103"/>
  <c r="E16" i="103" s="1"/>
  <c r="E25" i="103" s="1"/>
  <c r="E31" i="103" s="1"/>
  <c r="F31" i="103" s="1"/>
  <c r="D14" i="62"/>
  <c r="F14" i="62" s="1"/>
  <c r="E26" i="103" l="1"/>
  <c r="E32" i="103" s="1"/>
  <c r="F32" i="103" s="1"/>
  <c r="F17" i="103"/>
  <c r="F12" i="103"/>
  <c r="F8" i="103"/>
  <c r="E23" i="103"/>
  <c r="F25" i="103"/>
  <c r="F16" i="103"/>
  <c r="F11" i="103"/>
  <c r="E19" i="103"/>
  <c r="F7" i="103"/>
  <c r="F27" i="103"/>
  <c r="F18" i="103"/>
  <c r="F13" i="103"/>
  <c r="F9" i="103"/>
  <c r="F12" i="101"/>
  <c r="G12" i="101" s="1"/>
  <c r="F11" i="96"/>
  <c r="D5" i="21"/>
  <c r="F26" i="103" l="1"/>
  <c r="F6" i="103"/>
  <c r="E28" i="103"/>
  <c r="F19" i="103"/>
  <c r="E29" i="103"/>
  <c r="F23" i="103"/>
  <c r="F20" i="101"/>
  <c r="F32" i="101"/>
  <c r="G32" i="101" s="1"/>
  <c r="B46" i="70"/>
  <c r="F57" i="70" l="1"/>
  <c r="F15" i="103"/>
  <c r="F58" i="70" s="1"/>
  <c r="E34" i="103"/>
  <c r="F34" i="103" s="1"/>
  <c r="F28" i="103"/>
  <c r="E35" i="103"/>
  <c r="F35" i="103" s="1"/>
  <c r="F29" i="103"/>
  <c r="F26" i="101"/>
  <c r="G26" i="101" s="1"/>
  <c r="G20" i="101"/>
  <c r="F30" i="103" l="1"/>
  <c r="F60" i="70" s="1"/>
  <c r="F24" i="103"/>
  <c r="F59" i="70" s="1"/>
  <c r="S62" i="70" s="1"/>
  <c r="C46" i="26"/>
  <c r="C47" i="26" s="1"/>
  <c r="C48" i="26" s="1"/>
  <c r="C49" i="26" s="1"/>
  <c r="C50" i="26" s="1"/>
  <c r="C51" i="26" s="1"/>
  <c r="C52" i="26" s="1"/>
  <c r="C53" i="26" s="1"/>
  <c r="C54" i="26" s="1"/>
  <c r="C55" i="26" s="1"/>
  <c r="C56" i="26" s="1"/>
  <c r="C37" i="26"/>
  <c r="C38" i="26" s="1"/>
  <c r="C39" i="26" s="1"/>
  <c r="C40" i="26" s="1"/>
  <c r="C41" i="26" s="1"/>
  <c r="C42" i="26" s="1"/>
  <c r="C43" i="26" s="1"/>
  <c r="C18" i="26"/>
  <c r="C17" i="26" s="1"/>
  <c r="C20" i="26"/>
  <c r="C21" i="26" s="1"/>
  <c r="C22" i="26" s="1"/>
  <c r="C23" i="26" s="1"/>
  <c r="C24" i="26" s="1"/>
  <c r="C9" i="26"/>
  <c r="C10" i="26" s="1"/>
  <c r="C11" i="26" s="1"/>
  <c r="C12" i="26" s="1"/>
  <c r="C13" i="26" s="1"/>
  <c r="C14" i="26" s="1"/>
  <c r="C15" i="26" s="1"/>
  <c r="H6" i="103" l="1"/>
  <c r="C25" i="26"/>
  <c r="C26" i="26" s="1"/>
  <c r="C27" i="26" s="1"/>
  <c r="C28" i="26" s="1"/>
  <c r="F33" i="26"/>
  <c r="F32" i="26"/>
  <c r="F31" i="26"/>
  <c r="F30" i="26"/>
  <c r="F28" i="26"/>
  <c r="F27" i="26"/>
  <c r="F26" i="26"/>
  <c r="F25" i="26"/>
  <c r="F24" i="26"/>
  <c r="F23" i="26"/>
  <c r="F22" i="26"/>
  <c r="F21" i="26"/>
  <c r="F20" i="26"/>
  <c r="F19" i="26"/>
  <c r="F18" i="26"/>
  <c r="F17" i="26"/>
  <c r="F9" i="26"/>
  <c r="F10" i="26"/>
  <c r="F11" i="26"/>
  <c r="F12" i="26"/>
  <c r="F13" i="26"/>
  <c r="F14" i="26"/>
  <c r="F15" i="26"/>
  <c r="F8" i="26"/>
  <c r="B59" i="63" l="1"/>
  <c r="H19" i="109" l="1"/>
  <c r="H20" i="109"/>
  <c r="H21" i="109"/>
  <c r="H18" i="109"/>
  <c r="D21" i="109"/>
  <c r="D19" i="109"/>
  <c r="D18" i="109"/>
  <c r="M7" i="84"/>
  <c r="M8" i="84"/>
  <c r="M9" i="84"/>
  <c r="M10" i="84"/>
  <c r="M11" i="84"/>
  <c r="M12" i="84"/>
  <c r="M13" i="84"/>
  <c r="M6" i="84"/>
  <c r="O9" i="108"/>
  <c r="O8" i="108"/>
  <c r="O14" i="108"/>
  <c r="O20" i="108"/>
  <c r="O11" i="108"/>
  <c r="O12" i="108"/>
  <c r="O13" i="108"/>
  <c r="O16" i="108"/>
  <c r="O17" i="108"/>
  <c r="O19" i="108"/>
  <c r="O7" i="108"/>
  <c r="E20" i="58"/>
  <c r="N23" i="70" s="1"/>
  <c r="O23" i="70" s="1"/>
  <c r="M23" i="70" s="1"/>
  <c r="E22" i="58"/>
  <c r="N25" i="70" s="1"/>
  <c r="O25" i="70" s="1"/>
  <c r="M25" i="70" s="1"/>
  <c r="N33" i="70"/>
  <c r="O33" i="70" s="1"/>
  <c r="M33" i="70" s="1"/>
  <c r="O21" i="108" l="1"/>
  <c r="O15" i="108"/>
  <c r="O10" i="108"/>
  <c r="O18" i="108"/>
  <c r="N32" i="70"/>
  <c r="O32" i="70" s="1"/>
  <c r="M32" i="70" s="1"/>
  <c r="N31" i="70"/>
  <c r="O31" i="70" s="1"/>
  <c r="M31" i="70" s="1"/>
  <c r="C63" i="63"/>
  <c r="B63" i="63"/>
  <c r="O22" i="108" l="1"/>
  <c r="D19" i="107"/>
  <c r="D17" i="107"/>
  <c r="D16" i="107"/>
  <c r="I19" i="95" l="1"/>
  <c r="C20" i="95"/>
  <c r="C21" i="95"/>
  <c r="C18" i="95"/>
  <c r="J19" i="95" l="1"/>
  <c r="K19" i="95" s="1"/>
  <c r="L19" i="95" s="1"/>
  <c r="A31" i="70" l="1"/>
  <c r="B31" i="70"/>
  <c r="C31" i="70"/>
  <c r="A32" i="70"/>
  <c r="B32" i="70"/>
  <c r="C32" i="70"/>
  <c r="A33" i="70"/>
  <c r="B33" i="70"/>
  <c r="C33" i="70"/>
  <c r="A29" i="70"/>
  <c r="B29" i="70"/>
  <c r="A25" i="70"/>
  <c r="B25" i="70"/>
  <c r="C25" i="70"/>
  <c r="B121" i="63"/>
  <c r="A121" i="63"/>
  <c r="B113" i="63"/>
  <c r="A113" i="63"/>
  <c r="B112" i="63"/>
  <c r="B120" i="63" s="1"/>
  <c r="B128" i="63" s="1"/>
  <c r="C112" i="63"/>
  <c r="C120" i="63" s="1"/>
  <c r="C128" i="63" s="1"/>
  <c r="B107" i="63"/>
  <c r="B115" i="63" s="1"/>
  <c r="B123" i="63" s="1"/>
  <c r="C107" i="63"/>
  <c r="C115" i="63" s="1"/>
  <c r="C123" i="63" s="1"/>
  <c r="B108" i="63"/>
  <c r="B116" i="63" s="1"/>
  <c r="B124" i="63" s="1"/>
  <c r="C108" i="63"/>
  <c r="C116" i="63" s="1"/>
  <c r="C124" i="63" s="1"/>
  <c r="B109" i="63"/>
  <c r="B117" i="63" s="1"/>
  <c r="B125" i="63" s="1"/>
  <c r="C109" i="63"/>
  <c r="C117" i="63" s="1"/>
  <c r="C125" i="63" s="1"/>
  <c r="C110" i="63"/>
  <c r="C118" i="63" s="1"/>
  <c r="C126" i="63" s="1"/>
  <c r="D110" i="63"/>
  <c r="D118" i="63" s="1"/>
  <c r="D126" i="63" s="1"/>
  <c r="B111" i="63"/>
  <c r="B119" i="63" s="1"/>
  <c r="B127" i="63" s="1"/>
  <c r="C111" i="63"/>
  <c r="C119" i="63" s="1"/>
  <c r="C127" i="63" s="1"/>
  <c r="D111" i="63"/>
  <c r="D119" i="63" s="1"/>
  <c r="D127" i="63" s="1"/>
  <c r="C106" i="63"/>
  <c r="C114" i="63" s="1"/>
  <c r="C122" i="63" s="1"/>
  <c r="B106" i="63"/>
  <c r="B114" i="63" s="1"/>
  <c r="B122" i="63" s="1"/>
  <c r="A105" i="63"/>
  <c r="B105" i="63"/>
  <c r="A96" i="63"/>
  <c r="B96" i="63"/>
  <c r="A38" i="21"/>
  <c r="B38" i="21"/>
  <c r="C38" i="21"/>
  <c r="A39" i="21"/>
  <c r="B39" i="21"/>
  <c r="C39" i="21"/>
  <c r="A40" i="21"/>
  <c r="B40" i="21"/>
  <c r="C40" i="21"/>
  <c r="A39" i="62"/>
  <c r="B39" i="62"/>
  <c r="B36" i="21"/>
  <c r="A41" i="62"/>
  <c r="B41" i="62"/>
  <c r="C41" i="62"/>
  <c r="A42" i="62"/>
  <c r="B42" i="62"/>
  <c r="C42" i="62"/>
  <c r="A43" i="62"/>
  <c r="B43" i="62"/>
  <c r="C43" i="62"/>
  <c r="D4" i="88" l="1"/>
  <c r="M17" i="58" l="1"/>
  <c r="M16" i="58"/>
  <c r="H20" i="82" l="1"/>
  <c r="F11" i="86" l="1"/>
  <c r="F10" i="86"/>
  <c r="F9" i="86"/>
  <c r="F8" i="86"/>
  <c r="F7" i="86"/>
  <c r="F6" i="86"/>
  <c r="F5" i="86"/>
  <c r="E11" i="96"/>
  <c r="E10" i="96"/>
  <c r="E9" i="96"/>
  <c r="E8" i="96"/>
  <c r="E7" i="96"/>
  <c r="E6" i="96"/>
  <c r="E5" i="96"/>
  <c r="E13" i="84"/>
  <c r="E12" i="84"/>
  <c r="E11" i="84"/>
  <c r="E10" i="84"/>
  <c r="E9" i="84"/>
  <c r="E8" i="84"/>
  <c r="E7" i="84"/>
  <c r="E6" i="84"/>
  <c r="D13" i="99"/>
  <c r="D12" i="99"/>
  <c r="D11" i="99"/>
  <c r="D10" i="99"/>
  <c r="D9" i="99"/>
  <c r="D8" i="99"/>
  <c r="F8" i="99" s="1"/>
  <c r="D6" i="99"/>
  <c r="F6" i="99" s="1"/>
  <c r="F35" i="97"/>
  <c r="D13" i="62"/>
  <c r="D12" i="62"/>
  <c r="D11" i="62"/>
  <c r="D10" i="62"/>
  <c r="D9" i="62"/>
  <c r="F9" i="62" s="1"/>
  <c r="D8" i="62"/>
  <c r="D7" i="62"/>
  <c r="D6" i="62"/>
  <c r="F6" i="62" s="1"/>
  <c r="F172" i="63"/>
  <c r="F170" i="63"/>
  <c r="F165" i="63"/>
  <c r="F164" i="63"/>
  <c r="F159" i="63"/>
  <c r="F158" i="63"/>
  <c r="F152" i="63"/>
  <c r="F151" i="63"/>
  <c r="F141" i="63"/>
  <c r="F140" i="63"/>
  <c r="F135" i="63"/>
  <c r="F102" i="63"/>
  <c r="F110" i="63" s="1"/>
  <c r="F118" i="63" s="1"/>
  <c r="F126" i="63" s="1"/>
  <c r="F133" i="63"/>
  <c r="F101" i="63"/>
  <c r="F109" i="63" s="1"/>
  <c r="F117" i="63" s="1"/>
  <c r="F125" i="63" s="1"/>
  <c r="F84" i="63"/>
  <c r="F83" i="63"/>
  <c r="F77" i="63"/>
  <c r="F76" i="63"/>
  <c r="F70" i="63"/>
  <c r="F69" i="63"/>
  <c r="F63" i="63"/>
  <c r="F62" i="63"/>
  <c r="F55" i="63"/>
  <c r="E9" i="109"/>
  <c r="E13" i="109"/>
  <c r="E12" i="109"/>
  <c r="E11" i="109"/>
  <c r="E10" i="109"/>
  <c r="E8" i="109"/>
  <c r="E7" i="109"/>
  <c r="E6" i="109"/>
  <c r="G6" i="109" s="1"/>
  <c r="H12" i="82" l="1"/>
  <c r="H16" i="82"/>
  <c r="H13" i="82"/>
  <c r="H7" i="82"/>
  <c r="H14" i="82"/>
  <c r="H9" i="82"/>
  <c r="H15" i="82"/>
  <c r="H6" i="82" l="1"/>
  <c r="H5" i="82"/>
  <c r="B5" i="63"/>
  <c r="H17" i="82" l="1"/>
  <c r="H18" i="82"/>
  <c r="F22" i="47"/>
  <c r="F23" i="47" s="1"/>
  <c r="F21" i="47"/>
  <c r="F25" i="47"/>
  <c r="I16" i="108"/>
  <c r="F24" i="47" l="1"/>
  <c r="F26" i="47" s="1"/>
  <c r="E171" i="63"/>
  <c r="B171" i="63"/>
  <c r="C27" i="85"/>
  <c r="C45" i="85" s="1"/>
  <c r="C51" i="85" s="1"/>
  <c r="C58" i="85" s="1"/>
  <c r="C65" i="85" s="1"/>
  <c r="C75" i="85" s="1"/>
  <c r="C82" i="85" s="1"/>
  <c r="C88" i="85" s="1"/>
  <c r="E27" i="85"/>
  <c r="E45" i="85" s="1"/>
  <c r="E51" i="85" s="1"/>
  <c r="E58" i="85" s="1"/>
  <c r="E65" i="85" s="1"/>
  <c r="E75" i="85" s="1"/>
  <c r="E82" i="85" s="1"/>
  <c r="E88" i="85" s="1"/>
  <c r="F27" i="85"/>
  <c r="F45" i="85" s="1"/>
  <c r="F51" i="85" s="1"/>
  <c r="F58" i="85" s="1"/>
  <c r="F65" i="85" s="1"/>
  <c r="F75" i="85" s="1"/>
  <c r="F82" i="85" s="1"/>
  <c r="F88" i="85" s="1"/>
  <c r="B27" i="85"/>
  <c r="B45" i="85" s="1"/>
  <c r="B51" i="85" s="1"/>
  <c r="B58" i="85" s="1"/>
  <c r="B65" i="85" s="1"/>
  <c r="B75" i="85" s="1"/>
  <c r="B82" i="85" s="1"/>
  <c r="B88" i="85" s="1"/>
  <c r="C20" i="85"/>
  <c r="C26" i="85" s="1"/>
  <c r="C32" i="85" s="1"/>
  <c r="C38" i="85" s="1"/>
  <c r="C44" i="85" s="1"/>
  <c r="C50" i="85" s="1"/>
  <c r="C57" i="85" s="1"/>
  <c r="C64" i="85" s="1"/>
  <c r="C74" i="85" s="1"/>
  <c r="C81" i="85" s="1"/>
  <c r="C87" i="85" s="1"/>
  <c r="D20" i="85"/>
  <c r="D26" i="85" s="1"/>
  <c r="D32" i="85" s="1"/>
  <c r="D38" i="85" s="1"/>
  <c r="D44" i="85" s="1"/>
  <c r="D50" i="85" s="1"/>
  <c r="D57" i="85" s="1"/>
  <c r="D64" i="85" s="1"/>
  <c r="D74" i="85" s="1"/>
  <c r="D81" i="85" s="1"/>
  <c r="D87" i="85" s="1"/>
  <c r="E20" i="85"/>
  <c r="E26" i="85" s="1"/>
  <c r="E32" i="85" s="1"/>
  <c r="E38" i="85" s="1"/>
  <c r="E44" i="85" s="1"/>
  <c r="E50" i="85" s="1"/>
  <c r="E57" i="85" s="1"/>
  <c r="E64" i="85" s="1"/>
  <c r="E74" i="85" s="1"/>
  <c r="E81" i="85" s="1"/>
  <c r="E87" i="85" s="1"/>
  <c r="F20" i="85"/>
  <c r="F26" i="85" s="1"/>
  <c r="F32" i="85" s="1"/>
  <c r="F38" i="85" s="1"/>
  <c r="F44" i="85" s="1"/>
  <c r="F50" i="85" s="1"/>
  <c r="F57" i="85" s="1"/>
  <c r="F64" i="85" s="1"/>
  <c r="F74" i="85" s="1"/>
  <c r="F81" i="85" s="1"/>
  <c r="F87" i="85" s="1"/>
  <c r="C21" i="85"/>
  <c r="C39" i="85" s="1"/>
  <c r="C52" i="85" s="1"/>
  <c r="E21" i="85"/>
  <c r="E39" i="85" s="1"/>
  <c r="E52" i="85" s="1"/>
  <c r="B21" i="85"/>
  <c r="B39" i="85" s="1"/>
  <c r="B52" i="85" s="1"/>
  <c r="B20" i="85"/>
  <c r="B26" i="85" s="1"/>
  <c r="B32" i="85" s="1"/>
  <c r="B38" i="85" s="1"/>
  <c r="B44" i="85" s="1"/>
  <c r="B50" i="85" s="1"/>
  <c r="B57" i="85" s="1"/>
  <c r="B64" i="85" s="1"/>
  <c r="B74" i="85" s="1"/>
  <c r="B81" i="85" s="1"/>
  <c r="B87" i="85" s="1"/>
  <c r="C35" i="97"/>
  <c r="D35" i="97"/>
  <c r="E35" i="97"/>
  <c r="C36" i="97"/>
  <c r="E36" i="97"/>
  <c r="B36" i="97"/>
  <c r="B35" i="97"/>
  <c r="C18" i="97"/>
  <c r="C23" i="97" s="1"/>
  <c r="C29" i="97" s="1"/>
  <c r="C34" i="97" s="1"/>
  <c r="E18" i="97"/>
  <c r="E23" i="97" s="1"/>
  <c r="E29" i="97" s="1"/>
  <c r="E34" i="97" s="1"/>
  <c r="B18" i="97"/>
  <c r="B23" i="97" s="1"/>
  <c r="B29" i="97" s="1"/>
  <c r="B34" i="97" s="1"/>
  <c r="C8" i="97"/>
  <c r="C13" i="97" s="1"/>
  <c r="E8" i="97"/>
  <c r="E13" i="97" s="1"/>
  <c r="B8" i="97"/>
  <c r="B13" i="97" s="1"/>
  <c r="C19" i="108"/>
  <c r="D19" i="108"/>
  <c r="E19" i="108"/>
  <c r="F19" i="108"/>
  <c r="C20" i="108"/>
  <c r="E20" i="108"/>
  <c r="B20" i="108"/>
  <c r="B19" i="108"/>
  <c r="C8" i="108"/>
  <c r="C13" i="108" s="1"/>
  <c r="E8" i="108"/>
  <c r="E13" i="108" s="1"/>
  <c r="B8" i="108"/>
  <c r="B13" i="108" s="1"/>
  <c r="C25" i="102"/>
  <c r="E25" i="102"/>
  <c r="F25" i="102"/>
  <c r="B25" i="102"/>
  <c r="C24" i="102"/>
  <c r="D24" i="102"/>
  <c r="E24" i="102"/>
  <c r="F24" i="102"/>
  <c r="B24" i="102"/>
  <c r="E102" i="63" l="1"/>
  <c r="B102" i="63"/>
  <c r="E135" i="63" l="1"/>
  <c r="E141" i="63" s="1"/>
  <c r="E110" i="63"/>
  <c r="E118" i="63" s="1"/>
  <c r="E126" i="63" s="1"/>
  <c r="B135" i="63"/>
  <c r="B141" i="63" s="1"/>
  <c r="B110" i="63"/>
  <c r="B118" i="63" s="1"/>
  <c r="B126" i="63" s="1"/>
  <c r="E159" i="63"/>
  <c r="E172" i="63" s="1"/>
  <c r="C172" i="63"/>
  <c r="E56" i="63"/>
  <c r="E64" i="63" s="1"/>
  <c r="B56" i="63"/>
  <c r="B64" i="63" s="1"/>
  <c r="E38" i="63"/>
  <c r="E43" i="63" s="1"/>
  <c r="E48" i="63" s="1"/>
  <c r="E53" i="63" s="1"/>
  <c r="E61" i="63" s="1"/>
  <c r="C43" i="63"/>
  <c r="C53" i="63" s="1"/>
  <c r="B38" i="63"/>
  <c r="B43" i="63" s="1"/>
  <c r="B48" i="63" s="1"/>
  <c r="B53" i="63" s="1"/>
  <c r="B61" i="63" s="1"/>
  <c r="F7" i="110"/>
  <c r="F6" i="110"/>
  <c r="G6" i="110" s="1"/>
  <c r="G56" i="63" s="1"/>
  <c r="F34" i="97" l="1"/>
  <c r="F13" i="97"/>
  <c r="F53" i="63"/>
  <c r="F8" i="97"/>
  <c r="F82" i="63"/>
  <c r="F68" i="63"/>
  <c r="F48" i="63"/>
  <c r="F23" i="97"/>
  <c r="F18" i="97"/>
  <c r="F38" i="63"/>
  <c r="F29" i="97"/>
  <c r="F75" i="63"/>
  <c r="F61" i="63"/>
  <c r="F13" i="108"/>
  <c r="F43" i="63"/>
  <c r="F8" i="108"/>
  <c r="F20" i="108"/>
  <c r="F171" i="63"/>
  <c r="F134" i="63"/>
  <c r="F56" i="63"/>
  <c r="F36" i="97"/>
  <c r="F85" i="63"/>
  <c r="F78" i="63"/>
  <c r="F71" i="63"/>
  <c r="F64" i="63"/>
  <c r="B152" i="63"/>
  <c r="B165" i="63" s="1"/>
  <c r="B68" i="63"/>
  <c r="B75" i="63" s="1"/>
  <c r="B82" i="63" s="1"/>
  <c r="E71" i="63"/>
  <c r="E78" i="63" s="1"/>
  <c r="E85" i="63" s="1"/>
  <c r="E134" i="63" s="1"/>
  <c r="E68" i="63"/>
  <c r="E75" i="63" s="1"/>
  <c r="E82" i="63" s="1"/>
  <c r="C75" i="63"/>
  <c r="B71" i="63"/>
  <c r="B78" i="63" s="1"/>
  <c r="B85" i="63" s="1"/>
  <c r="B134" i="63" s="1"/>
  <c r="E152" i="63"/>
  <c r="E165" i="63" s="1"/>
  <c r="B159" i="63"/>
  <c r="B172" i="63" s="1"/>
  <c r="G27" i="85"/>
  <c r="G45" i="85" s="1"/>
  <c r="G51" i="85" s="1"/>
  <c r="G58" i="85" s="1"/>
  <c r="G65" i="85" s="1"/>
  <c r="G75" i="85" s="1"/>
  <c r="G82" i="85" s="1"/>
  <c r="G88" i="85" s="1"/>
  <c r="G25" i="102"/>
  <c r="G102" i="63"/>
  <c r="F21" i="85"/>
  <c r="F39" i="85" s="1"/>
  <c r="F52" i="85" s="1"/>
  <c r="G7" i="110"/>
  <c r="G135" i="63" l="1"/>
  <c r="G152" i="63" s="1"/>
  <c r="G165" i="63" s="1"/>
  <c r="G110" i="63"/>
  <c r="G21" i="85"/>
  <c r="G39" i="85" s="1"/>
  <c r="G52" i="85" s="1"/>
  <c r="G171" i="63"/>
  <c r="G36" i="97"/>
  <c r="G20" i="108"/>
  <c r="G64" i="63"/>
  <c r="G18" i="97"/>
  <c r="G23" i="97" s="1"/>
  <c r="G29" i="97" s="1"/>
  <c r="G34" i="97" s="1"/>
  <c r="G8" i="97"/>
  <c r="G8" i="108"/>
  <c r="G13" i="108" s="1"/>
  <c r="G38" i="63"/>
  <c r="G43" i="63" s="1"/>
  <c r="G48" i="63" s="1"/>
  <c r="G53" i="63" s="1"/>
  <c r="G61" i="63" s="1"/>
  <c r="G13" i="97" l="1"/>
  <c r="G159" i="63"/>
  <c r="G172" i="63" s="1"/>
  <c r="G141" i="63"/>
  <c r="G118" i="63"/>
  <c r="G126" i="63" s="1"/>
  <c r="G17" i="88"/>
  <c r="A32" i="62" l="1"/>
  <c r="A33" i="62"/>
  <c r="A34" i="62"/>
  <c r="L3" i="58"/>
  <c r="M3" i="58" s="1"/>
  <c r="I13" i="106"/>
  <c r="C21" i="109"/>
  <c r="B21" i="109"/>
  <c r="A21" i="109"/>
  <c r="B20" i="109"/>
  <c r="A20" i="109"/>
  <c r="C19" i="109"/>
  <c r="B19" i="109"/>
  <c r="A19" i="109"/>
  <c r="C18" i="109"/>
  <c r="B18" i="109"/>
  <c r="A18" i="109"/>
  <c r="J17" i="109"/>
  <c r="B17" i="109"/>
  <c r="A17" i="109"/>
  <c r="B16" i="109"/>
  <c r="H13" i="109"/>
  <c r="G13" i="109"/>
  <c r="G12" i="109"/>
  <c r="I12" i="109" s="1"/>
  <c r="G11" i="109"/>
  <c r="I11" i="109" s="1"/>
  <c r="G10" i="109"/>
  <c r="I10" i="109" s="1"/>
  <c r="G8" i="109"/>
  <c r="I8" i="109" s="1"/>
  <c r="F22" i="108"/>
  <c r="F21" i="108"/>
  <c r="D21" i="108"/>
  <c r="F18" i="108"/>
  <c r="D18" i="108"/>
  <c r="B17" i="108"/>
  <c r="A17" i="108"/>
  <c r="B16" i="108"/>
  <c r="A16" i="108"/>
  <c r="F15" i="108"/>
  <c r="F14" i="108"/>
  <c r="D14" i="108"/>
  <c r="F12" i="108"/>
  <c r="D12" i="108"/>
  <c r="B11" i="108"/>
  <c r="A11" i="108"/>
  <c r="F10" i="108"/>
  <c r="F9" i="108"/>
  <c r="D9" i="108"/>
  <c r="F7" i="108"/>
  <c r="D7" i="108"/>
  <c r="B6" i="108"/>
  <c r="A6" i="108"/>
  <c r="B5" i="108"/>
  <c r="A5" i="108"/>
  <c r="B4" i="108"/>
  <c r="C19" i="107"/>
  <c r="B19" i="107"/>
  <c r="A19" i="107"/>
  <c r="G18" i="107"/>
  <c r="B18" i="107"/>
  <c r="A18" i="107"/>
  <c r="C17" i="107"/>
  <c r="B17" i="107"/>
  <c r="A17" i="107"/>
  <c r="C16" i="107"/>
  <c r="B16" i="107"/>
  <c r="A16" i="107"/>
  <c r="B15" i="107"/>
  <c r="A15" i="107"/>
  <c r="B14" i="107"/>
  <c r="E11" i="107"/>
  <c r="E10" i="107"/>
  <c r="D10" i="107"/>
  <c r="C10" i="107"/>
  <c r="E9" i="107"/>
  <c r="D9" i="107"/>
  <c r="C9" i="107"/>
  <c r="E8" i="107"/>
  <c r="D8" i="107"/>
  <c r="C8" i="107"/>
  <c r="E7" i="107"/>
  <c r="D7" i="107"/>
  <c r="C7" i="107"/>
  <c r="E6" i="107"/>
  <c r="D6" i="107"/>
  <c r="C6" i="107"/>
  <c r="E5" i="107"/>
  <c r="D5" i="107"/>
  <c r="C5" i="107"/>
  <c r="I12" i="106"/>
  <c r="I11" i="106"/>
  <c r="I10" i="106"/>
  <c r="I9" i="106"/>
  <c r="I8" i="108" l="1"/>
  <c r="I13" i="108"/>
  <c r="G9" i="109"/>
  <c r="I9" i="109" s="1"/>
  <c r="G7" i="109"/>
  <c r="I7" i="109" s="1"/>
  <c r="I6" i="109"/>
  <c r="I24" i="58"/>
  <c r="I25" i="58" s="1"/>
  <c r="I11" i="58"/>
  <c r="I27" i="58"/>
  <c r="N3" i="58"/>
  <c r="I13" i="109"/>
  <c r="F6" i="106"/>
  <c r="F8" i="106"/>
  <c r="F5" i="106"/>
  <c r="G71" i="63" l="1"/>
  <c r="G78" i="63" s="1"/>
  <c r="G85" i="63" s="1"/>
  <c r="G134" i="63" s="1"/>
  <c r="G68" i="63"/>
  <c r="G75" i="63" s="1"/>
  <c r="G82" i="63" s="1"/>
  <c r="I5" i="109"/>
  <c r="G5" i="109"/>
  <c r="I20" i="108"/>
  <c r="D22" i="109"/>
  <c r="G19" i="109" s="1"/>
  <c r="D20" i="107"/>
  <c r="G7" i="88"/>
  <c r="D24" i="88"/>
  <c r="J5" i="109" l="1"/>
  <c r="K5" i="109" s="1"/>
  <c r="I126" i="63"/>
  <c r="I118" i="63"/>
  <c r="I110" i="63"/>
  <c r="K10" i="106"/>
  <c r="F21" i="109"/>
  <c r="F19" i="109"/>
  <c r="G18" i="109"/>
  <c r="D25" i="109"/>
  <c r="G19" i="107"/>
  <c r="G17" i="107"/>
  <c r="G16" i="107"/>
  <c r="G21" i="109" l="1"/>
  <c r="E22" i="109"/>
  <c r="F18" i="109"/>
  <c r="J18" i="109" s="1"/>
  <c r="E20" i="107"/>
  <c r="C22" i="70"/>
  <c r="A23" i="70"/>
  <c r="A24" i="70"/>
  <c r="B22" i="70"/>
  <c r="A22" i="70"/>
  <c r="A47" i="70"/>
  <c r="B47" i="70"/>
  <c r="A48" i="70"/>
  <c r="B48" i="70"/>
  <c r="A49" i="70"/>
  <c r="B49" i="70"/>
  <c r="C49" i="70"/>
  <c r="A50" i="70"/>
  <c r="B50" i="70"/>
  <c r="C50" i="70"/>
  <c r="A51" i="70"/>
  <c r="B51" i="70"/>
  <c r="C51" i="70"/>
  <c r="A52" i="70"/>
  <c r="B52" i="70"/>
  <c r="A53" i="70"/>
  <c r="B53" i="70"/>
  <c r="C53" i="70"/>
  <c r="A54" i="70"/>
  <c r="B54" i="70"/>
  <c r="C54" i="70"/>
  <c r="A56" i="70"/>
  <c r="B56" i="70"/>
  <c r="A57" i="70"/>
  <c r="B57" i="70"/>
  <c r="C57" i="70"/>
  <c r="A58" i="70"/>
  <c r="B58" i="70"/>
  <c r="C58" i="70"/>
  <c r="A59" i="70"/>
  <c r="B59" i="70"/>
  <c r="C59" i="70"/>
  <c r="A60" i="70"/>
  <c r="B60" i="70"/>
  <c r="C60" i="70"/>
  <c r="B55" i="70"/>
  <c r="D7" i="81"/>
  <c r="D8" i="81" s="1"/>
  <c r="D9" i="81" s="1"/>
  <c r="I7" i="58" s="1"/>
  <c r="D11" i="81"/>
  <c r="D12" i="81" s="1"/>
  <c r="I10" i="58" s="1"/>
  <c r="D36" i="26"/>
  <c r="G36" i="26"/>
  <c r="D19" i="88"/>
  <c r="D21" i="88" s="1"/>
  <c r="A18" i="99"/>
  <c r="B18" i="99"/>
  <c r="C18" i="99"/>
  <c r="A16" i="96"/>
  <c r="B16" i="96"/>
  <c r="C16" i="96"/>
  <c r="F11" i="107"/>
  <c r="D7" i="97"/>
  <c r="D9" i="97"/>
  <c r="G7" i="97"/>
  <c r="B6" i="97"/>
  <c r="A6" i="97"/>
  <c r="F10" i="97"/>
  <c r="F9" i="97"/>
  <c r="F7" i="97"/>
  <c r="G987" i="22"/>
  <c r="D168" i="63"/>
  <c r="D169" i="63"/>
  <c r="D55" i="63"/>
  <c r="D63" i="63" s="1"/>
  <c r="E55" i="63"/>
  <c r="E63" i="63" s="1"/>
  <c r="D162" i="63"/>
  <c r="D163" i="63"/>
  <c r="D156" i="63"/>
  <c r="D157" i="63"/>
  <c r="D138" i="63"/>
  <c r="D139" i="63"/>
  <c r="D25" i="86"/>
  <c r="D131" i="63"/>
  <c r="D132" i="63"/>
  <c r="D81" i="63"/>
  <c r="D83" i="63"/>
  <c r="D74" i="63"/>
  <c r="D76" i="63"/>
  <c r="D52" i="63"/>
  <c r="D54" i="63"/>
  <c r="D18" i="81"/>
  <c r="I16" i="58" s="1"/>
  <c r="D16" i="81"/>
  <c r="I14" i="58" s="1"/>
  <c r="E12" i="80"/>
  <c r="L12" i="80" s="1"/>
  <c r="M12" i="80" s="1"/>
  <c r="Q12" i="80"/>
  <c r="D26" i="26"/>
  <c r="I26" i="26" s="1"/>
  <c r="G26" i="26"/>
  <c r="D39" i="81"/>
  <c r="I42" i="58" s="1"/>
  <c r="D38" i="26"/>
  <c r="G38" i="26"/>
  <c r="D35" i="81"/>
  <c r="I38" i="58" s="1"/>
  <c r="D39" i="26"/>
  <c r="D36" i="81"/>
  <c r="I39" i="58" s="1"/>
  <c r="D37" i="81"/>
  <c r="I40" i="58" s="1"/>
  <c r="D30" i="81"/>
  <c r="D29" i="81"/>
  <c r="I32" i="58" s="1"/>
  <c r="D17" i="81"/>
  <c r="I15" i="58" s="1"/>
  <c r="D19" i="81"/>
  <c r="D48" i="26"/>
  <c r="E48" i="26" s="1"/>
  <c r="I18" i="58"/>
  <c r="J18" i="58" s="1"/>
  <c r="D21" i="81"/>
  <c r="I19" i="58" s="1"/>
  <c r="D22" i="81"/>
  <c r="I20" i="58" s="1"/>
  <c r="I21" i="58"/>
  <c r="D45" i="26"/>
  <c r="I45" i="26" s="1"/>
  <c r="G45" i="26"/>
  <c r="D37" i="26"/>
  <c r="E37" i="26" s="1"/>
  <c r="J13" i="58"/>
  <c r="I31" i="58"/>
  <c r="F6" i="21"/>
  <c r="H6" i="21" s="1"/>
  <c r="F7" i="62"/>
  <c r="F8" i="62"/>
  <c r="F10" i="62"/>
  <c r="F11" i="62"/>
  <c r="F12" i="62"/>
  <c r="F13" i="62"/>
  <c r="G5" i="82"/>
  <c r="G9" i="82" s="1"/>
  <c r="G6" i="82"/>
  <c r="J10" i="82"/>
  <c r="L10" i="82" s="1"/>
  <c r="M10" i="82" s="1"/>
  <c r="K10" i="82"/>
  <c r="E11" i="80"/>
  <c r="G16" i="82"/>
  <c r="G18" i="82"/>
  <c r="I20" i="82"/>
  <c r="K20" i="82" s="1"/>
  <c r="F9" i="99"/>
  <c r="F10" i="99"/>
  <c r="F11" i="99"/>
  <c r="F12" i="99"/>
  <c r="F13" i="99"/>
  <c r="G17" i="97"/>
  <c r="G22" i="97"/>
  <c r="G28" i="97"/>
  <c r="G30" i="97"/>
  <c r="G33" i="97"/>
  <c r="D6" i="63"/>
  <c r="D7" i="63"/>
  <c r="G12" i="63"/>
  <c r="D10" i="63"/>
  <c r="D11" i="63"/>
  <c r="G18" i="63"/>
  <c r="G20" i="63"/>
  <c r="I20" i="63" s="1"/>
  <c r="D18" i="63"/>
  <c r="D19" i="63"/>
  <c r="G25" i="63"/>
  <c r="D23" i="63"/>
  <c r="D24" i="63"/>
  <c r="G27" i="63"/>
  <c r="G29" i="63"/>
  <c r="I29" i="63" s="1"/>
  <c r="D27" i="63"/>
  <c r="D28" i="63"/>
  <c r="G31" i="63"/>
  <c r="G33" i="63"/>
  <c r="D31" i="63"/>
  <c r="D32" i="63"/>
  <c r="G37" i="63"/>
  <c r="G40" i="63"/>
  <c r="D37" i="63"/>
  <c r="D39" i="63"/>
  <c r="D42" i="63"/>
  <c r="D44" i="63"/>
  <c r="G45" i="63"/>
  <c r="I45" i="63" s="1"/>
  <c r="G50" i="63"/>
  <c r="D47" i="63"/>
  <c r="D49" i="63"/>
  <c r="G57" i="63"/>
  <c r="G60" i="63"/>
  <c r="G65" i="63"/>
  <c r="D60" i="63"/>
  <c r="D62" i="63"/>
  <c r="G67" i="63"/>
  <c r="G72" i="63"/>
  <c r="D67" i="63"/>
  <c r="D69" i="63"/>
  <c r="G89" i="63"/>
  <c r="G91" i="63"/>
  <c r="D89" i="63"/>
  <c r="D90" i="63"/>
  <c r="G95" i="63"/>
  <c r="D93" i="63"/>
  <c r="D94" i="63"/>
  <c r="G98" i="63"/>
  <c r="G106" i="63" s="1"/>
  <c r="G101" i="63"/>
  <c r="G109" i="63" s="1"/>
  <c r="G103" i="63"/>
  <c r="G111" i="63" s="1"/>
  <c r="D98" i="63"/>
  <c r="D106" i="63" s="1"/>
  <c r="D99" i="63"/>
  <c r="D107" i="63" s="1"/>
  <c r="D115" i="63" s="1"/>
  <c r="D123" i="63" s="1"/>
  <c r="D100" i="63"/>
  <c r="D108" i="63" s="1"/>
  <c r="D116" i="63" s="1"/>
  <c r="D124" i="63" s="1"/>
  <c r="D101" i="63"/>
  <c r="D109" i="63" s="1"/>
  <c r="D117" i="63" s="1"/>
  <c r="D125" i="63" s="1"/>
  <c r="G104" i="63"/>
  <c r="G112" i="63" s="1"/>
  <c r="G136" i="63"/>
  <c r="G142" i="63"/>
  <c r="G145" i="63"/>
  <c r="G147" i="63"/>
  <c r="D145" i="63"/>
  <c r="D146" i="63"/>
  <c r="G149" i="63"/>
  <c r="G153" i="63"/>
  <c r="D149" i="63"/>
  <c r="D150" i="63"/>
  <c r="G160" i="63"/>
  <c r="G166" i="63"/>
  <c r="G173" i="63"/>
  <c r="G176" i="63"/>
  <c r="D176" i="63"/>
  <c r="D177" i="63"/>
  <c r="G11" i="102"/>
  <c r="D7" i="102"/>
  <c r="D8" i="102"/>
  <c r="D9" i="102"/>
  <c r="D10" i="102"/>
  <c r="G17" i="102"/>
  <c r="D13" i="102"/>
  <c r="D14" i="102"/>
  <c r="D15" i="102"/>
  <c r="D16" i="102"/>
  <c r="G21" i="102"/>
  <c r="D19" i="102"/>
  <c r="D20" i="102"/>
  <c r="E5" i="104"/>
  <c r="E8" i="104"/>
  <c r="E25" i="104"/>
  <c r="E23" i="104" s="1"/>
  <c r="E22" i="104" s="1"/>
  <c r="E21" i="104" s="1"/>
  <c r="E18" i="104" s="1"/>
  <c r="E17" i="104" s="1"/>
  <c r="E13" i="104" s="1"/>
  <c r="D15" i="86"/>
  <c r="D16" i="86"/>
  <c r="D18" i="86"/>
  <c r="D19" i="86"/>
  <c r="D20" i="86"/>
  <c r="D21" i="86"/>
  <c r="D23" i="86"/>
  <c r="D24" i="86"/>
  <c r="D26" i="86"/>
  <c r="D34" i="84"/>
  <c r="G24" i="88"/>
  <c r="D35" i="86"/>
  <c r="G5" i="86"/>
  <c r="G6" i="86"/>
  <c r="G7" i="86"/>
  <c r="G8" i="86"/>
  <c r="G9" i="86"/>
  <c r="G10" i="86"/>
  <c r="G11" i="86"/>
  <c r="D17" i="84"/>
  <c r="D18" i="84"/>
  <c r="D20" i="84"/>
  <c r="D21" i="84"/>
  <c r="D22" i="84"/>
  <c r="D23" i="84"/>
  <c r="D25" i="84"/>
  <c r="D26" i="84"/>
  <c r="D27" i="84"/>
  <c r="D37" i="84"/>
  <c r="H6" i="84"/>
  <c r="J6" i="84" s="1"/>
  <c r="H7" i="84"/>
  <c r="J7" i="84" s="1"/>
  <c r="H8" i="84"/>
  <c r="J8" i="84" s="1"/>
  <c r="H9" i="84"/>
  <c r="J9" i="84" s="1"/>
  <c r="H10" i="84"/>
  <c r="J10" i="84" s="1"/>
  <c r="H11" i="84"/>
  <c r="J11" i="84" s="1"/>
  <c r="H12" i="84"/>
  <c r="J12" i="84" s="1"/>
  <c r="H13" i="84"/>
  <c r="G6" i="85"/>
  <c r="G10" i="85"/>
  <c r="G19" i="85"/>
  <c r="G31" i="85"/>
  <c r="G43" i="85"/>
  <c r="G63" i="85"/>
  <c r="G73" i="85"/>
  <c r="G80" i="85"/>
  <c r="G93" i="85"/>
  <c r="G8" i="85"/>
  <c r="D6" i="85"/>
  <c r="D7" i="85"/>
  <c r="G12" i="85"/>
  <c r="D10" i="85"/>
  <c r="D11" i="85"/>
  <c r="G17" i="85"/>
  <c r="D15" i="85"/>
  <c r="D16" i="85"/>
  <c r="G23" i="85"/>
  <c r="D19" i="85"/>
  <c r="D22" i="85"/>
  <c r="G29" i="85"/>
  <c r="D25" i="85"/>
  <c r="D28" i="85"/>
  <c r="G34" i="85"/>
  <c r="D31" i="85"/>
  <c r="D33" i="85"/>
  <c r="G41" i="85"/>
  <c r="D37" i="85"/>
  <c r="D40" i="85"/>
  <c r="G47" i="85"/>
  <c r="D43" i="85"/>
  <c r="D46" i="85"/>
  <c r="G54" i="85"/>
  <c r="D49" i="85"/>
  <c r="D53" i="85"/>
  <c r="G67" i="85"/>
  <c r="D63" i="85"/>
  <c r="D66" i="85"/>
  <c r="G71" i="85"/>
  <c r="D69" i="85"/>
  <c r="D70" i="85"/>
  <c r="G77" i="85"/>
  <c r="D73" i="85"/>
  <c r="D76" i="85"/>
  <c r="G84" i="85"/>
  <c r="D80" i="85"/>
  <c r="D83" i="85"/>
  <c r="G90" i="85"/>
  <c r="D86" i="85"/>
  <c r="D89" i="85"/>
  <c r="G95" i="85"/>
  <c r="D93" i="85"/>
  <c r="D94" i="85"/>
  <c r="D6" i="104"/>
  <c r="D7" i="104"/>
  <c r="D9" i="104"/>
  <c r="D10" i="104"/>
  <c r="D11" i="104"/>
  <c r="D12" i="104"/>
  <c r="D14" i="104"/>
  <c r="D15" i="104"/>
  <c r="D16" i="104"/>
  <c r="A6" i="104"/>
  <c r="B6" i="104"/>
  <c r="C6" i="104"/>
  <c r="A7" i="104"/>
  <c r="B7" i="104"/>
  <c r="C7" i="104"/>
  <c r="A8" i="104"/>
  <c r="B8" i="104"/>
  <c r="A9" i="104"/>
  <c r="B9" i="104"/>
  <c r="C9" i="104"/>
  <c r="A10" i="104"/>
  <c r="B10" i="104"/>
  <c r="C10" i="104"/>
  <c r="A11" i="104"/>
  <c r="B11" i="104"/>
  <c r="C11" i="104"/>
  <c r="A12" i="104"/>
  <c r="B12" i="104"/>
  <c r="C12" i="104"/>
  <c r="A13" i="104"/>
  <c r="B13" i="104"/>
  <c r="A14" i="104"/>
  <c r="B14" i="104"/>
  <c r="C14" i="104"/>
  <c r="A15" i="104"/>
  <c r="B15" i="104"/>
  <c r="C15" i="104"/>
  <c r="A16" i="104"/>
  <c r="B16" i="104"/>
  <c r="A17" i="104"/>
  <c r="B17" i="104"/>
  <c r="C17" i="104"/>
  <c r="A18" i="104"/>
  <c r="B18" i="104"/>
  <c r="A19" i="104"/>
  <c r="B19" i="104"/>
  <c r="C19" i="104"/>
  <c r="A20" i="104"/>
  <c r="B20" i="104"/>
  <c r="A21" i="104"/>
  <c r="B21" i="104"/>
  <c r="A22" i="104"/>
  <c r="B22" i="104"/>
  <c r="A23" i="104"/>
  <c r="B23" i="104"/>
  <c r="C23" i="104"/>
  <c r="A24" i="104"/>
  <c r="B24" i="104"/>
  <c r="C24" i="104"/>
  <c r="A25" i="104"/>
  <c r="B25" i="104"/>
  <c r="B26" i="104"/>
  <c r="C26" i="104"/>
  <c r="B5" i="104"/>
  <c r="A5" i="104"/>
  <c r="C45" i="70"/>
  <c r="C39" i="81" s="1"/>
  <c r="B45" i="70"/>
  <c r="B39" i="81" s="1"/>
  <c r="B44" i="70"/>
  <c r="B38" i="81" s="1"/>
  <c r="A44" i="70"/>
  <c r="A38" i="81" s="1"/>
  <c r="C37" i="84"/>
  <c r="B37" i="84"/>
  <c r="B36" i="84"/>
  <c r="A36" i="84"/>
  <c r="B92" i="85"/>
  <c r="B91" i="85"/>
  <c r="A91" i="85"/>
  <c r="C35" i="86"/>
  <c r="B35" i="86"/>
  <c r="B34" i="86"/>
  <c r="A34" i="86"/>
  <c r="D42" i="26"/>
  <c r="I42" i="26" s="1"/>
  <c r="G42" i="26"/>
  <c r="D53" i="26"/>
  <c r="E53" i="26" s="1"/>
  <c r="G53" i="26"/>
  <c r="C55" i="62"/>
  <c r="B55" i="62"/>
  <c r="B54" i="62"/>
  <c r="A54" i="62"/>
  <c r="C52" i="21"/>
  <c r="B52" i="21"/>
  <c r="B51" i="21"/>
  <c r="A51" i="21"/>
  <c r="G79" i="63"/>
  <c r="G86" i="63"/>
  <c r="B175" i="63"/>
  <c r="B174" i="63"/>
  <c r="A174" i="63"/>
  <c r="F178" i="63"/>
  <c r="F177" i="63"/>
  <c r="F176" i="63"/>
  <c r="B18" i="102"/>
  <c r="B12" i="102"/>
  <c r="B6" i="102"/>
  <c r="B4" i="102"/>
  <c r="A22" i="102"/>
  <c r="A18" i="102"/>
  <c r="A12" i="102"/>
  <c r="A6" i="102"/>
  <c r="A5" i="102"/>
  <c r="G27" i="102"/>
  <c r="F27" i="102"/>
  <c r="F26" i="102"/>
  <c r="D26" i="102"/>
  <c r="G23" i="102"/>
  <c r="D23" i="102"/>
  <c r="F21" i="102"/>
  <c r="F20" i="102"/>
  <c r="G19" i="102"/>
  <c r="F19" i="102"/>
  <c r="F17" i="102"/>
  <c r="F16" i="102"/>
  <c r="E16" i="102"/>
  <c r="F15" i="102"/>
  <c r="E15" i="102"/>
  <c r="F14" i="102"/>
  <c r="E14" i="102"/>
  <c r="G13" i="102"/>
  <c r="F13" i="102"/>
  <c r="E13" i="102"/>
  <c r="F11" i="102"/>
  <c r="F10" i="102"/>
  <c r="E10" i="102"/>
  <c r="F9" i="102"/>
  <c r="E9" i="102"/>
  <c r="F8" i="102"/>
  <c r="G8" i="102" s="1"/>
  <c r="F7" i="102"/>
  <c r="E7" i="102"/>
  <c r="A33" i="21"/>
  <c r="B33" i="21"/>
  <c r="A34" i="21"/>
  <c r="B34" i="21"/>
  <c r="C34" i="21"/>
  <c r="A35" i="21"/>
  <c r="B35" i="21"/>
  <c r="C35" i="21"/>
  <c r="A37" i="21"/>
  <c r="B37" i="21"/>
  <c r="C37" i="21"/>
  <c r="A41" i="21"/>
  <c r="B41" i="21"/>
  <c r="A42" i="21"/>
  <c r="B42" i="21"/>
  <c r="C42" i="21"/>
  <c r="A43" i="21"/>
  <c r="B43" i="21"/>
  <c r="C43" i="21"/>
  <c r="A44" i="21"/>
  <c r="B44" i="21"/>
  <c r="A45" i="21"/>
  <c r="B45" i="21"/>
  <c r="C45" i="21"/>
  <c r="A46" i="21"/>
  <c r="B46" i="21"/>
  <c r="C46" i="21"/>
  <c r="A47" i="21"/>
  <c r="B47" i="21"/>
  <c r="A48" i="21"/>
  <c r="B48" i="21"/>
  <c r="C48" i="21"/>
  <c r="A49" i="21"/>
  <c r="B49" i="21"/>
  <c r="C49" i="21"/>
  <c r="A50" i="21"/>
  <c r="B50" i="21"/>
  <c r="C50" i="21"/>
  <c r="A14" i="21"/>
  <c r="B14" i="21"/>
  <c r="A15" i="21"/>
  <c r="B15" i="21"/>
  <c r="C15" i="21"/>
  <c r="A16" i="21"/>
  <c r="B16" i="21"/>
  <c r="C16" i="21"/>
  <c r="A17" i="21"/>
  <c r="B17" i="21"/>
  <c r="C17" i="21"/>
  <c r="A18" i="21"/>
  <c r="B18" i="21"/>
  <c r="A19" i="21"/>
  <c r="B19" i="21"/>
  <c r="C19" i="21"/>
  <c r="A20" i="21"/>
  <c r="B20" i="21"/>
  <c r="C20" i="21"/>
  <c r="A21" i="21"/>
  <c r="B21" i="21"/>
  <c r="C21" i="21"/>
  <c r="A22" i="21"/>
  <c r="B22" i="21"/>
  <c r="A23" i="21"/>
  <c r="B23" i="21"/>
  <c r="A24" i="21"/>
  <c r="B24" i="21"/>
  <c r="C24" i="21"/>
  <c r="A25" i="21"/>
  <c r="B25" i="21"/>
  <c r="C25" i="21"/>
  <c r="A26" i="21"/>
  <c r="B26" i="21"/>
  <c r="C26" i="21"/>
  <c r="A27" i="21"/>
  <c r="B27" i="21"/>
  <c r="C27" i="21"/>
  <c r="A28" i="21"/>
  <c r="B28" i="21"/>
  <c r="A29" i="21"/>
  <c r="B29" i="21"/>
  <c r="C29" i="21"/>
  <c r="A30" i="21"/>
  <c r="B30" i="21"/>
  <c r="C30" i="21"/>
  <c r="A31" i="21"/>
  <c r="B31" i="21"/>
  <c r="C31" i="21"/>
  <c r="A32" i="21"/>
  <c r="B32" i="21"/>
  <c r="C32" i="21"/>
  <c r="A19" i="99"/>
  <c r="A20" i="99"/>
  <c r="A21" i="99"/>
  <c r="A22" i="99"/>
  <c r="A23" i="99"/>
  <c r="A24" i="99"/>
  <c r="A17" i="96"/>
  <c r="A18" i="96"/>
  <c r="A19" i="96"/>
  <c r="A20" i="96"/>
  <c r="A21" i="96"/>
  <c r="A22" i="96"/>
  <c r="A27" i="62"/>
  <c r="A28" i="62"/>
  <c r="A29" i="62"/>
  <c r="A32" i="97"/>
  <c r="A27" i="97"/>
  <c r="A21" i="97"/>
  <c r="A16" i="97"/>
  <c r="A11" i="97"/>
  <c r="G15" i="97"/>
  <c r="D12" i="97"/>
  <c r="D14" i="97"/>
  <c r="G20" i="97"/>
  <c r="D17" i="97"/>
  <c r="D19" i="97"/>
  <c r="G25" i="97"/>
  <c r="D22" i="97"/>
  <c r="D24" i="97"/>
  <c r="G31" i="97"/>
  <c r="D28" i="97"/>
  <c r="D30" i="97"/>
  <c r="G38" i="97"/>
  <c r="D33" i="97"/>
  <c r="D37" i="97"/>
  <c r="A73" i="63"/>
  <c r="A66" i="63"/>
  <c r="A59" i="63"/>
  <c r="A46" i="63"/>
  <c r="A41" i="63"/>
  <c r="A36" i="63"/>
  <c r="C24" i="99"/>
  <c r="B24" i="99"/>
  <c r="C23" i="99"/>
  <c r="B23" i="99"/>
  <c r="B22" i="99"/>
  <c r="C21" i="99"/>
  <c r="B21" i="99"/>
  <c r="C20" i="99"/>
  <c r="B20" i="99"/>
  <c r="C19" i="99"/>
  <c r="B19" i="99"/>
  <c r="B17" i="99"/>
  <c r="A17" i="99"/>
  <c r="B16" i="99"/>
  <c r="F38" i="97"/>
  <c r="F37" i="97"/>
  <c r="F33" i="97"/>
  <c r="B32" i="97"/>
  <c r="F31" i="97"/>
  <c r="F30" i="97"/>
  <c r="F28" i="97"/>
  <c r="B27" i="97"/>
  <c r="B26" i="97"/>
  <c r="A26" i="97"/>
  <c r="F25" i="97"/>
  <c r="F24" i="97"/>
  <c r="F22" i="97"/>
  <c r="B21" i="97"/>
  <c r="F20" i="97"/>
  <c r="F19" i="97"/>
  <c r="F17" i="97"/>
  <c r="B16" i="97"/>
  <c r="F15" i="97"/>
  <c r="F14" i="97"/>
  <c r="F12" i="97"/>
  <c r="B11" i="97"/>
  <c r="B5" i="97"/>
  <c r="A5" i="97"/>
  <c r="B4" i="97"/>
  <c r="C22" i="96"/>
  <c r="B22" i="96"/>
  <c r="C21" i="96"/>
  <c r="B21" i="96"/>
  <c r="B20" i="96"/>
  <c r="C19" i="96"/>
  <c r="B19" i="96"/>
  <c r="C18" i="96"/>
  <c r="B18" i="96"/>
  <c r="C17" i="96"/>
  <c r="B17" i="96"/>
  <c r="B15" i="96"/>
  <c r="A15" i="96"/>
  <c r="B14" i="96"/>
  <c r="D10" i="96"/>
  <c r="C10" i="96"/>
  <c r="D9" i="96"/>
  <c r="C9" i="96"/>
  <c r="D8" i="96"/>
  <c r="C8" i="96"/>
  <c r="D7" i="96"/>
  <c r="C7" i="96"/>
  <c r="D6" i="96"/>
  <c r="C6" i="96"/>
  <c r="D5" i="96"/>
  <c r="C5" i="96"/>
  <c r="A50" i="62"/>
  <c r="B50" i="62"/>
  <c r="A51" i="62"/>
  <c r="B51" i="62"/>
  <c r="C51" i="62"/>
  <c r="A52" i="62"/>
  <c r="B52" i="62"/>
  <c r="C52" i="62"/>
  <c r="A53" i="62"/>
  <c r="B53" i="62"/>
  <c r="C53" i="62"/>
  <c r="J15" i="88"/>
  <c r="L39" i="58"/>
  <c r="B85" i="85"/>
  <c r="A85" i="85"/>
  <c r="B79" i="85"/>
  <c r="A79" i="85"/>
  <c r="B78" i="85"/>
  <c r="A78" i="85"/>
  <c r="B62" i="85"/>
  <c r="A62" i="85"/>
  <c r="F67" i="85"/>
  <c r="F66" i="85"/>
  <c r="E66" i="85"/>
  <c r="F63" i="85"/>
  <c r="E63" i="85"/>
  <c r="A17" i="84"/>
  <c r="B17" i="84"/>
  <c r="C17" i="84"/>
  <c r="A18" i="84"/>
  <c r="B18" i="84"/>
  <c r="C18" i="84"/>
  <c r="A19" i="84"/>
  <c r="B19" i="84"/>
  <c r="A20" i="84"/>
  <c r="B20" i="84"/>
  <c r="C20" i="84"/>
  <c r="A21" i="84"/>
  <c r="B21" i="84"/>
  <c r="C21" i="84"/>
  <c r="A22" i="84"/>
  <c r="B22" i="84"/>
  <c r="C22" i="84"/>
  <c r="A23" i="84"/>
  <c r="B23" i="84"/>
  <c r="C23" i="84"/>
  <c r="A24" i="84"/>
  <c r="B24" i="84"/>
  <c r="A25" i="84"/>
  <c r="B25" i="84"/>
  <c r="C25" i="84"/>
  <c r="A26" i="84"/>
  <c r="B26" i="84"/>
  <c r="C26" i="84"/>
  <c r="A27" i="84"/>
  <c r="B27" i="84"/>
  <c r="A28" i="84"/>
  <c r="B28" i="84"/>
  <c r="C28" i="84"/>
  <c r="A29" i="84"/>
  <c r="B29" i="84"/>
  <c r="A30" i="84"/>
  <c r="B30" i="84"/>
  <c r="C30" i="84"/>
  <c r="A31" i="84"/>
  <c r="B31" i="84"/>
  <c r="A32" i="84"/>
  <c r="B32" i="84"/>
  <c r="A33" i="84"/>
  <c r="B33" i="84"/>
  <c r="A34" i="84"/>
  <c r="B34" i="84"/>
  <c r="C34" i="84"/>
  <c r="A35" i="84"/>
  <c r="B35" i="84"/>
  <c r="C35" i="84"/>
  <c r="C26" i="86"/>
  <c r="A15" i="86"/>
  <c r="B15" i="86"/>
  <c r="C15" i="86"/>
  <c r="A16" i="86"/>
  <c r="B16" i="86"/>
  <c r="C16" i="86"/>
  <c r="A17" i="86"/>
  <c r="B17" i="86"/>
  <c r="A18" i="86"/>
  <c r="B18" i="86"/>
  <c r="C18" i="86"/>
  <c r="A19" i="86"/>
  <c r="B19" i="86"/>
  <c r="C19" i="86"/>
  <c r="A20" i="86"/>
  <c r="B20" i="86"/>
  <c r="C20" i="86"/>
  <c r="A21" i="86"/>
  <c r="B21" i="86"/>
  <c r="C21" i="86"/>
  <c r="A22" i="86"/>
  <c r="B22" i="86"/>
  <c r="A23" i="86"/>
  <c r="B23" i="86"/>
  <c r="C23" i="86"/>
  <c r="A24" i="86"/>
  <c r="B24" i="86"/>
  <c r="C24" i="86"/>
  <c r="A25" i="86"/>
  <c r="B25" i="86"/>
  <c r="A26" i="86"/>
  <c r="B26" i="86"/>
  <c r="A27" i="86"/>
  <c r="B27" i="86"/>
  <c r="A28" i="86"/>
  <c r="B28" i="86"/>
  <c r="C28" i="86"/>
  <c r="A29" i="86"/>
  <c r="B29" i="86"/>
  <c r="A30" i="86"/>
  <c r="B30" i="86"/>
  <c r="A31" i="86"/>
  <c r="B31" i="86"/>
  <c r="A32" i="86"/>
  <c r="B32" i="86"/>
  <c r="C32" i="86"/>
  <c r="A33" i="86"/>
  <c r="B33" i="86"/>
  <c r="C33" i="86"/>
  <c r="F7" i="92"/>
  <c r="B80" i="63"/>
  <c r="A80" i="63"/>
  <c r="B73" i="63"/>
  <c r="B66" i="63"/>
  <c r="A19" i="62"/>
  <c r="B19" i="62"/>
  <c r="C19" i="62"/>
  <c r="A20" i="62"/>
  <c r="B20" i="62"/>
  <c r="C20" i="62"/>
  <c r="A21" i="62"/>
  <c r="B21" i="62"/>
  <c r="A22" i="62"/>
  <c r="B22" i="62"/>
  <c r="C22" i="62"/>
  <c r="A23" i="62"/>
  <c r="B23" i="62"/>
  <c r="C23" i="62"/>
  <c r="A24" i="62"/>
  <c r="B24" i="62"/>
  <c r="C24" i="62"/>
  <c r="A25" i="62"/>
  <c r="B25" i="62"/>
  <c r="A26" i="62"/>
  <c r="B26" i="62"/>
  <c r="B27" i="62"/>
  <c r="C27" i="62"/>
  <c r="B28" i="62"/>
  <c r="C28" i="62"/>
  <c r="B29" i="62"/>
  <c r="C29" i="62"/>
  <c r="A30" i="62"/>
  <c r="B30" i="62"/>
  <c r="C30" i="62"/>
  <c r="A31" i="62"/>
  <c r="B31" i="62"/>
  <c r="B32" i="62"/>
  <c r="C32" i="62"/>
  <c r="B33" i="62"/>
  <c r="C33" i="62"/>
  <c r="B34" i="62"/>
  <c r="C34" i="62"/>
  <c r="A35" i="62"/>
  <c r="B35" i="62"/>
  <c r="C35" i="62"/>
  <c r="A36" i="62"/>
  <c r="B36" i="62"/>
  <c r="A37" i="62"/>
  <c r="B37" i="62"/>
  <c r="C37" i="62"/>
  <c r="A38" i="62"/>
  <c r="B38" i="62"/>
  <c r="C38" i="62"/>
  <c r="A40" i="62"/>
  <c r="B40" i="62"/>
  <c r="C40" i="62"/>
  <c r="A44" i="62"/>
  <c r="B44" i="62"/>
  <c r="A45" i="62"/>
  <c r="B45" i="62"/>
  <c r="C45" i="62"/>
  <c r="A46" i="62"/>
  <c r="B46" i="62"/>
  <c r="C46" i="62"/>
  <c r="A47" i="62"/>
  <c r="B47" i="62"/>
  <c r="A48" i="62"/>
  <c r="B48" i="62"/>
  <c r="C48" i="62"/>
  <c r="A49" i="62"/>
  <c r="B49" i="62"/>
  <c r="C49" i="62"/>
  <c r="F19" i="92"/>
  <c r="D30" i="91" s="1"/>
  <c r="F18" i="92"/>
  <c r="D31" i="93" s="1"/>
  <c r="E12" i="92"/>
  <c r="F12" i="92" s="1"/>
  <c r="E11" i="92"/>
  <c r="E10" i="92"/>
  <c r="F10" i="92" s="1"/>
  <c r="F17" i="92"/>
  <c r="D30" i="93" s="1"/>
  <c r="F15" i="92"/>
  <c r="F14" i="92"/>
  <c r="D22" i="88"/>
  <c r="D5" i="88"/>
  <c r="G5" i="68"/>
  <c r="C6" i="94"/>
  <c r="C7" i="94"/>
  <c r="C8" i="94"/>
  <c r="C9" i="94"/>
  <c r="C12" i="94"/>
  <c r="C13" i="94"/>
  <c r="C14" i="94"/>
  <c r="C16" i="94"/>
  <c r="C17" i="94"/>
  <c r="C19" i="94"/>
  <c r="C20" i="94"/>
  <c r="C21" i="94"/>
  <c r="C23" i="94"/>
  <c r="B6" i="94"/>
  <c r="B7" i="94"/>
  <c r="B8" i="94"/>
  <c r="B9" i="94"/>
  <c r="B10" i="94"/>
  <c r="B11" i="94"/>
  <c r="B12" i="94"/>
  <c r="B13" i="94"/>
  <c r="B14" i="94"/>
  <c r="B15" i="94"/>
  <c r="B16" i="94"/>
  <c r="B17" i="94"/>
  <c r="B18" i="94"/>
  <c r="B19" i="94"/>
  <c r="B20" i="94"/>
  <c r="B21" i="94"/>
  <c r="B22" i="94"/>
  <c r="B23" i="94"/>
  <c r="B5" i="94"/>
  <c r="A6" i="94"/>
  <c r="A7" i="94"/>
  <c r="A8" i="94"/>
  <c r="A9" i="94"/>
  <c r="A10" i="94"/>
  <c r="A11" i="94"/>
  <c r="A15" i="94"/>
  <c r="A16" i="94"/>
  <c r="A17" i="94"/>
  <c r="A18" i="94"/>
  <c r="A19" i="94"/>
  <c r="A20" i="94"/>
  <c r="A21" i="94"/>
  <c r="A22" i="94"/>
  <c r="A23" i="94"/>
  <c r="A5" i="94"/>
  <c r="E13" i="69"/>
  <c r="C34" i="93"/>
  <c r="B34" i="93"/>
  <c r="A34" i="93"/>
  <c r="B33" i="93"/>
  <c r="A33" i="93"/>
  <c r="C32" i="93"/>
  <c r="B32" i="93"/>
  <c r="A32" i="93"/>
  <c r="C31" i="93"/>
  <c r="B31" i="93"/>
  <c r="A31" i="93"/>
  <c r="C30" i="93"/>
  <c r="B30" i="93"/>
  <c r="A30" i="93"/>
  <c r="B29" i="93"/>
  <c r="A29" i="93"/>
  <c r="C28" i="93"/>
  <c r="B28" i="93"/>
  <c r="A28" i="93"/>
  <c r="C27" i="93"/>
  <c r="B27" i="93"/>
  <c r="A27" i="93"/>
  <c r="B26" i="93"/>
  <c r="A26" i="93"/>
  <c r="C25" i="93"/>
  <c r="B25" i="93"/>
  <c r="C24" i="93"/>
  <c r="B24" i="93"/>
  <c r="C23" i="93"/>
  <c r="B23" i="93"/>
  <c r="B22" i="93"/>
  <c r="A22" i="93"/>
  <c r="B21" i="93"/>
  <c r="A21" i="93"/>
  <c r="C20" i="93"/>
  <c r="B20" i="93"/>
  <c r="A20" i="93"/>
  <c r="C19" i="93"/>
  <c r="B19" i="93"/>
  <c r="A19" i="93"/>
  <c r="C18" i="93"/>
  <c r="B18" i="93"/>
  <c r="A18" i="93"/>
  <c r="C17" i="93"/>
  <c r="B17" i="93"/>
  <c r="A17" i="93"/>
  <c r="M16" i="93"/>
  <c r="B16" i="93"/>
  <c r="A16" i="93"/>
  <c r="H13" i="93"/>
  <c r="F13" i="93"/>
  <c r="G13" i="93" s="1"/>
  <c r="F12" i="93"/>
  <c r="G12" i="93" s="1"/>
  <c r="I12" i="93" s="1"/>
  <c r="F11" i="93"/>
  <c r="G11" i="93" s="1"/>
  <c r="I11" i="93" s="1"/>
  <c r="F10" i="93"/>
  <c r="G10" i="93" s="1"/>
  <c r="I10" i="93" s="1"/>
  <c r="F9" i="93"/>
  <c r="G9" i="93" s="1"/>
  <c r="I9" i="93" s="1"/>
  <c r="F8" i="93"/>
  <c r="G8" i="93" s="1"/>
  <c r="I8" i="93" s="1"/>
  <c r="F7" i="93"/>
  <c r="G7" i="93" s="1"/>
  <c r="I7" i="93" s="1"/>
  <c r="F6" i="93"/>
  <c r="G6" i="93" s="1"/>
  <c r="I6" i="93" s="1"/>
  <c r="F21" i="92"/>
  <c r="K19" i="92"/>
  <c r="K18" i="92"/>
  <c r="K7" i="92"/>
  <c r="F6" i="92"/>
  <c r="F5" i="92"/>
  <c r="F4" i="92"/>
  <c r="D15" i="91" s="1"/>
  <c r="K3" i="92"/>
  <c r="C32" i="91"/>
  <c r="B32" i="91"/>
  <c r="A32" i="91"/>
  <c r="B31" i="91"/>
  <c r="A31" i="91"/>
  <c r="C30" i="91"/>
  <c r="B30" i="91"/>
  <c r="A30" i="91"/>
  <c r="C29" i="91"/>
  <c r="B29" i="91"/>
  <c r="A29" i="91"/>
  <c r="C28" i="91"/>
  <c r="B28" i="91"/>
  <c r="A28" i="91"/>
  <c r="H27" i="91"/>
  <c r="B27" i="91"/>
  <c r="A27" i="91"/>
  <c r="C26" i="91"/>
  <c r="B26" i="91"/>
  <c r="A26" i="91"/>
  <c r="C25" i="91"/>
  <c r="B25" i="91"/>
  <c r="A25" i="91"/>
  <c r="B24" i="91"/>
  <c r="A24" i="91"/>
  <c r="C23" i="91"/>
  <c r="B23" i="91"/>
  <c r="C22" i="91"/>
  <c r="B22" i="91"/>
  <c r="C21" i="91"/>
  <c r="B21" i="91"/>
  <c r="B20" i="91"/>
  <c r="A20" i="91"/>
  <c r="B19" i="91"/>
  <c r="A19" i="91"/>
  <c r="C18" i="91"/>
  <c r="B18" i="91"/>
  <c r="A18" i="91"/>
  <c r="C17" i="91"/>
  <c r="B17" i="91"/>
  <c r="A17" i="91"/>
  <c r="C16" i="91"/>
  <c r="B16" i="91"/>
  <c r="A16" i="91"/>
  <c r="C15" i="91"/>
  <c r="B15" i="91"/>
  <c r="A15" i="91"/>
  <c r="J14" i="91"/>
  <c r="B14" i="91"/>
  <c r="A14" i="91"/>
  <c r="E11" i="91"/>
  <c r="E10" i="91"/>
  <c r="D10" i="91"/>
  <c r="C10" i="91"/>
  <c r="E9" i="91"/>
  <c r="D9" i="91"/>
  <c r="C9" i="91"/>
  <c r="E8" i="91"/>
  <c r="D8" i="91"/>
  <c r="C8" i="91"/>
  <c r="E7" i="91"/>
  <c r="D7" i="91"/>
  <c r="C7" i="91"/>
  <c r="E6" i="91"/>
  <c r="D6" i="91"/>
  <c r="C6" i="91"/>
  <c r="E5" i="91"/>
  <c r="D5" i="91"/>
  <c r="C5" i="91"/>
  <c r="F63" i="90"/>
  <c r="F62" i="90"/>
  <c r="D62" i="90"/>
  <c r="H61" i="90"/>
  <c r="H62" i="90" s="1"/>
  <c r="F61" i="90"/>
  <c r="D61" i="90"/>
  <c r="B60" i="90"/>
  <c r="A60" i="90"/>
  <c r="B59" i="90"/>
  <c r="A59" i="90"/>
  <c r="F58" i="90"/>
  <c r="F57" i="90"/>
  <c r="D57" i="90"/>
  <c r="H56" i="90"/>
  <c r="F56" i="90"/>
  <c r="D56" i="90"/>
  <c r="B55" i="90"/>
  <c r="A55" i="90"/>
  <c r="F54" i="90"/>
  <c r="F53" i="90"/>
  <c r="D53" i="90"/>
  <c r="H52" i="90"/>
  <c r="H53" i="90" s="1"/>
  <c r="F52" i="90"/>
  <c r="D52" i="90"/>
  <c r="B51" i="90"/>
  <c r="A51" i="90"/>
  <c r="F50" i="90"/>
  <c r="F49" i="90"/>
  <c r="D49" i="90"/>
  <c r="H48" i="90"/>
  <c r="F48" i="90"/>
  <c r="D48" i="90"/>
  <c r="B47" i="90"/>
  <c r="A47" i="90"/>
  <c r="B46" i="90"/>
  <c r="A46" i="90"/>
  <c r="F45" i="90"/>
  <c r="D45" i="90"/>
  <c r="F44" i="90"/>
  <c r="E44" i="90"/>
  <c r="F43" i="90"/>
  <c r="E43" i="90"/>
  <c r="D43" i="90"/>
  <c r="F42" i="90"/>
  <c r="E42" i="90"/>
  <c r="D42" i="90"/>
  <c r="F41" i="90"/>
  <c r="E41" i="90"/>
  <c r="D41" i="90"/>
  <c r="F40" i="90"/>
  <c r="E40" i="90"/>
  <c r="D40" i="90"/>
  <c r="B39" i="90"/>
  <c r="A39" i="90"/>
  <c r="F38" i="90"/>
  <c r="F37" i="90"/>
  <c r="D37" i="90"/>
  <c r="H36" i="90"/>
  <c r="F36" i="90"/>
  <c r="D36" i="90"/>
  <c r="B35" i="90"/>
  <c r="A35" i="90"/>
  <c r="B34" i="90"/>
  <c r="A34" i="90"/>
  <c r="F33" i="90"/>
  <c r="F32" i="90"/>
  <c r="D32" i="90"/>
  <c r="H31" i="90"/>
  <c r="F31" i="90"/>
  <c r="D31" i="90"/>
  <c r="B30" i="90"/>
  <c r="F29" i="90"/>
  <c r="F28" i="90"/>
  <c r="D28" i="90"/>
  <c r="F27" i="90"/>
  <c r="D27" i="90"/>
  <c r="B26" i="90"/>
  <c r="F25" i="90"/>
  <c r="F24" i="90"/>
  <c r="D24" i="90"/>
  <c r="F23" i="90"/>
  <c r="D23" i="90"/>
  <c r="B22" i="90"/>
  <c r="B21" i="90"/>
  <c r="A21" i="90"/>
  <c r="F20" i="90"/>
  <c r="F19" i="90"/>
  <c r="D19" i="90"/>
  <c r="H18" i="90"/>
  <c r="H19" i="90" s="1"/>
  <c r="F18" i="90"/>
  <c r="D18" i="90"/>
  <c r="B17" i="90"/>
  <c r="A17" i="90"/>
  <c r="F16" i="90"/>
  <c r="F15" i="90"/>
  <c r="D15" i="90"/>
  <c r="H14" i="90"/>
  <c r="F14" i="90"/>
  <c r="D14" i="90"/>
  <c r="B13" i="90"/>
  <c r="A13" i="90"/>
  <c r="F12" i="90"/>
  <c r="F11" i="90"/>
  <c r="D11" i="90"/>
  <c r="H10" i="90"/>
  <c r="H11" i="90" s="1"/>
  <c r="F10" i="90"/>
  <c r="D10" i="90"/>
  <c r="B9" i="90"/>
  <c r="A9" i="90"/>
  <c r="F8" i="90"/>
  <c r="F7" i="90"/>
  <c r="D7" i="90"/>
  <c r="H6" i="90"/>
  <c r="H7" i="90" s="1"/>
  <c r="F6" i="90"/>
  <c r="D6" i="90"/>
  <c r="B5" i="90"/>
  <c r="A5" i="90"/>
  <c r="B4" i="90"/>
  <c r="A4" i="90"/>
  <c r="A28" i="70"/>
  <c r="B28" i="70"/>
  <c r="C28" i="70"/>
  <c r="C25" i="81" s="1"/>
  <c r="A30" i="70"/>
  <c r="A27" i="81" s="1"/>
  <c r="B30" i="70"/>
  <c r="B27" i="81" s="1"/>
  <c r="C30" i="70"/>
  <c r="C27" i="81" s="1"/>
  <c r="B92" i="63"/>
  <c r="A92" i="63"/>
  <c r="B88" i="63"/>
  <c r="A88" i="63"/>
  <c r="F91" i="63"/>
  <c r="F90" i="63"/>
  <c r="F89" i="63"/>
  <c r="A14" i="70"/>
  <c r="A13" i="81" s="1"/>
  <c r="B14" i="70"/>
  <c r="B13" i="81" s="1"/>
  <c r="C14" i="70"/>
  <c r="C13" i="81" s="1"/>
  <c r="B30" i="63"/>
  <c r="A30" i="63"/>
  <c r="F33" i="63"/>
  <c r="F32" i="63"/>
  <c r="F31" i="63"/>
  <c r="A18" i="62"/>
  <c r="C18" i="62"/>
  <c r="F84" i="85"/>
  <c r="F83" i="85"/>
  <c r="E83" i="85"/>
  <c r="F80" i="85"/>
  <c r="E80" i="85"/>
  <c r="G5" i="88"/>
  <c r="G4" i="88"/>
  <c r="K9" i="58"/>
  <c r="D32" i="93"/>
  <c r="D28" i="91"/>
  <c r="H40" i="90"/>
  <c r="H23" i="90"/>
  <c r="H57" i="90"/>
  <c r="I30" i="92"/>
  <c r="B16" i="84"/>
  <c r="A16" i="84"/>
  <c r="F90" i="85"/>
  <c r="F89" i="85"/>
  <c r="E89" i="85"/>
  <c r="F86" i="85"/>
  <c r="E86" i="85"/>
  <c r="F95" i="85"/>
  <c r="F94" i="85"/>
  <c r="E94" i="85"/>
  <c r="F93" i="85"/>
  <c r="E93" i="85"/>
  <c r="F77" i="85"/>
  <c r="F76" i="85"/>
  <c r="E76" i="85"/>
  <c r="F73" i="85"/>
  <c r="E73" i="85"/>
  <c r="F71" i="85"/>
  <c r="F70" i="85"/>
  <c r="E70" i="85"/>
  <c r="F69" i="85"/>
  <c r="E69" i="85"/>
  <c r="F60" i="85"/>
  <c r="F59" i="85"/>
  <c r="E59" i="85"/>
  <c r="D59" i="85"/>
  <c r="F56" i="85"/>
  <c r="E56" i="85"/>
  <c r="D56" i="85"/>
  <c r="F54" i="85"/>
  <c r="F53" i="85"/>
  <c r="E53" i="85"/>
  <c r="F49" i="85"/>
  <c r="E49" i="85"/>
  <c r="F47" i="85"/>
  <c r="F46" i="85"/>
  <c r="E46" i="85"/>
  <c r="F43" i="85"/>
  <c r="E43" i="85"/>
  <c r="F41" i="85"/>
  <c r="F40" i="85"/>
  <c r="E40" i="85"/>
  <c r="F37" i="85"/>
  <c r="E37" i="85"/>
  <c r="F34" i="85"/>
  <c r="F33" i="85"/>
  <c r="E33" i="85"/>
  <c r="F31" i="85"/>
  <c r="E31" i="85"/>
  <c r="F29" i="85"/>
  <c r="F28" i="85"/>
  <c r="E28" i="85"/>
  <c r="F25" i="85"/>
  <c r="E25" i="85"/>
  <c r="F23" i="85"/>
  <c r="F22" i="85"/>
  <c r="E22" i="85"/>
  <c r="F19" i="85"/>
  <c r="E19" i="85"/>
  <c r="F17" i="85"/>
  <c r="F16" i="85"/>
  <c r="E16" i="85"/>
  <c r="F15" i="85"/>
  <c r="E15" i="85"/>
  <c r="F12" i="85"/>
  <c r="F11" i="85"/>
  <c r="E11" i="85"/>
  <c r="F10" i="85"/>
  <c r="E10" i="85"/>
  <c r="F8" i="85"/>
  <c r="F7" i="85"/>
  <c r="E7" i="85"/>
  <c r="F6" i="85"/>
  <c r="E6" i="85"/>
  <c r="A5" i="85"/>
  <c r="B5" i="85"/>
  <c r="A9" i="85"/>
  <c r="B9" i="85"/>
  <c r="A13" i="85"/>
  <c r="B13" i="85"/>
  <c r="A14" i="85"/>
  <c r="B14" i="85"/>
  <c r="A18" i="85"/>
  <c r="B18" i="85"/>
  <c r="A24" i="85"/>
  <c r="B24" i="85"/>
  <c r="A30" i="85"/>
  <c r="B30" i="85"/>
  <c r="A35" i="85"/>
  <c r="B35" i="85"/>
  <c r="A36" i="85"/>
  <c r="B36" i="85"/>
  <c r="A42" i="85"/>
  <c r="B42" i="85"/>
  <c r="A48" i="85"/>
  <c r="B48" i="85"/>
  <c r="A55" i="85"/>
  <c r="B55" i="85"/>
  <c r="A61" i="85"/>
  <c r="B61" i="85"/>
  <c r="A68" i="85"/>
  <c r="B68" i="85"/>
  <c r="A72" i="85"/>
  <c r="B72" i="85"/>
  <c r="B4" i="85"/>
  <c r="A4" i="85"/>
  <c r="B14" i="86"/>
  <c r="A14" i="86"/>
  <c r="C19" i="88"/>
  <c r="D18" i="88"/>
  <c r="C18" i="88"/>
  <c r="C20" i="104" s="1"/>
  <c r="D15" i="88"/>
  <c r="D14" i="88"/>
  <c r="C14" i="88"/>
  <c r="C16" i="104" s="1"/>
  <c r="F104" i="63"/>
  <c r="F112" i="63" s="1"/>
  <c r="F120" i="63" s="1"/>
  <c r="F128" i="63" s="1"/>
  <c r="E100" i="63"/>
  <c r="E108" i="63" s="1"/>
  <c r="E116" i="63" s="1"/>
  <c r="E124" i="63" s="1"/>
  <c r="F103" i="63"/>
  <c r="F111" i="63" s="1"/>
  <c r="F119" i="63" s="1"/>
  <c r="F127" i="63" s="1"/>
  <c r="F100" i="63"/>
  <c r="F108" i="63" s="1"/>
  <c r="F116" i="63" s="1"/>
  <c r="F124" i="63" s="1"/>
  <c r="F99" i="63"/>
  <c r="F107" i="63" s="1"/>
  <c r="F115" i="63" s="1"/>
  <c r="F123" i="63" s="1"/>
  <c r="F98" i="63"/>
  <c r="F106" i="63" s="1"/>
  <c r="F114" i="63" s="1"/>
  <c r="F122" i="63" s="1"/>
  <c r="E103" i="63"/>
  <c r="E111" i="63" s="1"/>
  <c r="E119" i="63" s="1"/>
  <c r="E127" i="63" s="1"/>
  <c r="E101" i="63"/>
  <c r="E109" i="63" s="1"/>
  <c r="E117" i="63" s="1"/>
  <c r="E125" i="63" s="1"/>
  <c r="E99" i="63"/>
  <c r="E107" i="63" s="1"/>
  <c r="E115" i="63" s="1"/>
  <c r="E123" i="63" s="1"/>
  <c r="E98" i="63"/>
  <c r="E106" i="63" s="1"/>
  <c r="E114" i="63" s="1"/>
  <c r="E122" i="63" s="1"/>
  <c r="F173" i="63"/>
  <c r="F169" i="63"/>
  <c r="F168" i="63"/>
  <c r="F166" i="63"/>
  <c r="F163" i="63"/>
  <c r="F162" i="63"/>
  <c r="F160" i="63"/>
  <c r="F157" i="63"/>
  <c r="F156" i="63"/>
  <c r="F153" i="63"/>
  <c r="F150" i="63"/>
  <c r="F149" i="63"/>
  <c r="F147" i="63"/>
  <c r="F146" i="63"/>
  <c r="F145" i="63"/>
  <c r="F142" i="63"/>
  <c r="F139" i="63"/>
  <c r="F138" i="63"/>
  <c r="F136" i="63"/>
  <c r="F132" i="63"/>
  <c r="F131" i="63"/>
  <c r="F95" i="63"/>
  <c r="F94" i="63"/>
  <c r="F93" i="63"/>
  <c r="F86" i="63"/>
  <c r="F81" i="63"/>
  <c r="F79" i="63"/>
  <c r="F74" i="63"/>
  <c r="F72" i="63"/>
  <c r="F67" i="63"/>
  <c r="F65" i="63"/>
  <c r="F60" i="63"/>
  <c r="F57" i="63"/>
  <c r="F54" i="63"/>
  <c r="F52" i="63"/>
  <c r="F50" i="63"/>
  <c r="F49" i="63"/>
  <c r="F47" i="63"/>
  <c r="F45" i="63"/>
  <c r="F44" i="63"/>
  <c r="F42" i="63"/>
  <c r="F40" i="63"/>
  <c r="F39" i="63"/>
  <c r="F37" i="63"/>
  <c r="F29" i="63"/>
  <c r="F28" i="63"/>
  <c r="F27" i="63"/>
  <c r="F25" i="63"/>
  <c r="F24" i="63"/>
  <c r="F23" i="63"/>
  <c r="F20" i="63"/>
  <c r="F19" i="63"/>
  <c r="F18" i="63"/>
  <c r="F16" i="63"/>
  <c r="F15" i="63"/>
  <c r="D15" i="63"/>
  <c r="F14" i="63"/>
  <c r="D14" i="63"/>
  <c r="F12" i="63"/>
  <c r="F11" i="63"/>
  <c r="F10" i="63"/>
  <c r="F7" i="63"/>
  <c r="F6" i="63"/>
  <c r="A5" i="63"/>
  <c r="A9" i="63"/>
  <c r="B9" i="63"/>
  <c r="A13" i="63"/>
  <c r="B13" i="63"/>
  <c r="A17" i="63"/>
  <c r="B17" i="63"/>
  <c r="A21" i="63"/>
  <c r="B21" i="63"/>
  <c r="A22" i="63"/>
  <c r="B22" i="63"/>
  <c r="A26" i="63"/>
  <c r="B26" i="63"/>
  <c r="A34" i="63"/>
  <c r="B34" i="63"/>
  <c r="A35" i="63"/>
  <c r="B35" i="63"/>
  <c r="B36" i="63"/>
  <c r="B41" i="63"/>
  <c r="B46" i="63"/>
  <c r="A51" i="63"/>
  <c r="B51" i="63"/>
  <c r="A58" i="63"/>
  <c r="B58" i="63"/>
  <c r="A87" i="63"/>
  <c r="B87" i="63"/>
  <c r="A97" i="63"/>
  <c r="B97" i="63"/>
  <c r="A129" i="63"/>
  <c r="B129" i="63"/>
  <c r="A130" i="63"/>
  <c r="B130" i="63"/>
  <c r="A137" i="63"/>
  <c r="B137" i="63"/>
  <c r="A143" i="63"/>
  <c r="B143" i="63"/>
  <c r="A144" i="63"/>
  <c r="B144" i="63"/>
  <c r="A148" i="63"/>
  <c r="B148" i="63"/>
  <c r="A154" i="63"/>
  <c r="B154" i="63"/>
  <c r="A155" i="63"/>
  <c r="B155" i="63"/>
  <c r="A161" i="63"/>
  <c r="B161" i="63"/>
  <c r="A167" i="63"/>
  <c r="B167" i="63"/>
  <c r="B4" i="63"/>
  <c r="A4" i="63"/>
  <c r="B17" i="62"/>
  <c r="A17" i="62"/>
  <c r="A13" i="70"/>
  <c r="A12" i="81" s="1"/>
  <c r="B13" i="70"/>
  <c r="B12" i="81" s="1"/>
  <c r="C13" i="70"/>
  <c r="C12" i="81" s="1"/>
  <c r="A15" i="70"/>
  <c r="A14" i="81" s="1"/>
  <c r="B15" i="70"/>
  <c r="B14" i="81" s="1"/>
  <c r="A16" i="70"/>
  <c r="A15" i="81" s="1"/>
  <c r="B16" i="70"/>
  <c r="B15" i="81" s="1"/>
  <c r="B17" i="70"/>
  <c r="B16" i="81" s="1"/>
  <c r="C17" i="70"/>
  <c r="C16" i="81" s="1"/>
  <c r="B18" i="70"/>
  <c r="B17" i="81" s="1"/>
  <c r="C18" i="70"/>
  <c r="C17" i="81" s="1"/>
  <c r="B19" i="70"/>
  <c r="B18" i="81" s="1"/>
  <c r="C19" i="70"/>
  <c r="C18" i="81" s="1"/>
  <c r="A20" i="70"/>
  <c r="A19" i="81" s="1"/>
  <c r="B20" i="70"/>
  <c r="B19" i="81" s="1"/>
  <c r="C20" i="70"/>
  <c r="C19" i="81" s="1"/>
  <c r="AI5" i="76"/>
  <c r="A21" i="70"/>
  <c r="A20" i="81" s="1"/>
  <c r="B21" i="70"/>
  <c r="B20" i="81" s="1"/>
  <c r="B23" i="70"/>
  <c r="B21" i="81" s="1"/>
  <c r="C23" i="70"/>
  <c r="C21" i="81" s="1"/>
  <c r="B24" i="70"/>
  <c r="B22" i="81" s="1"/>
  <c r="C24" i="70"/>
  <c r="C22" i="81" s="1"/>
  <c r="A26" i="70"/>
  <c r="A23" i="81" s="1"/>
  <c r="B26" i="70"/>
  <c r="B23" i="81" s="1"/>
  <c r="A27" i="70"/>
  <c r="A24" i="81" s="1"/>
  <c r="B27" i="70"/>
  <c r="B24" i="81" s="1"/>
  <c r="C27" i="70"/>
  <c r="C24" i="81" s="1"/>
  <c r="A34" i="70"/>
  <c r="A28" i="81" s="1"/>
  <c r="B34" i="70"/>
  <c r="B28" i="81" s="1"/>
  <c r="A35" i="70"/>
  <c r="A29" i="81" s="1"/>
  <c r="B35" i="70"/>
  <c r="B29" i="81" s="1"/>
  <c r="C35" i="70"/>
  <c r="C29" i="81" s="1"/>
  <c r="A36" i="70"/>
  <c r="A30" i="81" s="1"/>
  <c r="B36" i="70"/>
  <c r="B30" i="81" s="1"/>
  <c r="C36" i="70"/>
  <c r="C30" i="81" s="1"/>
  <c r="A37" i="70"/>
  <c r="A31" i="81" s="1"/>
  <c r="B37" i="70"/>
  <c r="B31" i="81" s="1"/>
  <c r="A38" i="70"/>
  <c r="A32" i="81" s="1"/>
  <c r="B38" i="70"/>
  <c r="B32" i="81" s="1"/>
  <c r="C38" i="70"/>
  <c r="C32" i="81" s="1"/>
  <c r="A39" i="70"/>
  <c r="A33" i="81" s="1"/>
  <c r="B39" i="70"/>
  <c r="B33" i="81" s="1"/>
  <c r="C39" i="70"/>
  <c r="C33" i="81" s="1"/>
  <c r="A40" i="70"/>
  <c r="A34" i="81" s="1"/>
  <c r="B40" i="70"/>
  <c r="B34" i="81" s="1"/>
  <c r="A41" i="70"/>
  <c r="A35" i="81" s="1"/>
  <c r="B41" i="70"/>
  <c r="B35" i="81" s="1"/>
  <c r="C41" i="70"/>
  <c r="C35" i="81" s="1"/>
  <c r="A42" i="70"/>
  <c r="A36" i="81" s="1"/>
  <c r="B42" i="70"/>
  <c r="B36" i="81" s="1"/>
  <c r="C42" i="70"/>
  <c r="C36" i="81" s="1"/>
  <c r="A43" i="70"/>
  <c r="A37" i="81" s="1"/>
  <c r="B43" i="70"/>
  <c r="B37" i="81" s="1"/>
  <c r="C43" i="70"/>
  <c r="C37" i="81" s="1"/>
  <c r="A9" i="70"/>
  <c r="A8" i="81" s="1"/>
  <c r="B9" i="70"/>
  <c r="AB5" i="76" s="1"/>
  <c r="C9" i="70"/>
  <c r="C8" i="81" s="1"/>
  <c r="A10" i="70"/>
  <c r="A9" i="81" s="1"/>
  <c r="B10" i="70"/>
  <c r="B9" i="81" s="1"/>
  <c r="C10" i="70"/>
  <c r="C9" i="81" s="1"/>
  <c r="A11" i="70"/>
  <c r="A10" i="81" s="1"/>
  <c r="B11" i="70"/>
  <c r="B10" i="81" s="1"/>
  <c r="A12" i="70"/>
  <c r="A11" i="81" s="1"/>
  <c r="B12" i="70"/>
  <c r="B11" i="81" s="1"/>
  <c r="C12" i="70"/>
  <c r="C11" i="81" s="1"/>
  <c r="C8" i="70"/>
  <c r="C7" i="81" s="1"/>
  <c r="B8" i="70"/>
  <c r="AA5" i="76" s="1"/>
  <c r="A8" i="70"/>
  <c r="A7" i="81" s="1"/>
  <c r="B7" i="70"/>
  <c r="B6" i="81" s="1"/>
  <c r="A7" i="70"/>
  <c r="A6" i="81" s="1"/>
  <c r="G12" i="88"/>
  <c r="G10" i="88"/>
  <c r="G9" i="88"/>
  <c r="G8" i="88"/>
  <c r="G13" i="88"/>
  <c r="B8" i="87"/>
  <c r="B6" i="87"/>
  <c r="C13" i="87"/>
  <c r="A9" i="87"/>
  <c r="B9" i="87"/>
  <c r="A10" i="87"/>
  <c r="B10" i="87"/>
  <c r="A13" i="87"/>
  <c r="B13" i="87"/>
  <c r="A14" i="87"/>
  <c r="B14" i="87"/>
  <c r="B5" i="87"/>
  <c r="A5" i="87"/>
  <c r="E10" i="86"/>
  <c r="D10" i="86"/>
  <c r="E9" i="86"/>
  <c r="D9" i="86"/>
  <c r="E8" i="86"/>
  <c r="D8" i="86"/>
  <c r="E7" i="86"/>
  <c r="D7" i="86"/>
  <c r="E6" i="86"/>
  <c r="D6" i="86"/>
  <c r="E5" i="86"/>
  <c r="D5" i="86"/>
  <c r="I13" i="84"/>
  <c r="B7" i="87"/>
  <c r="B11" i="87"/>
  <c r="B5" i="81"/>
  <c r="A5" i="81"/>
  <c r="V10" i="80"/>
  <c r="U10" i="80"/>
  <c r="A5" i="67"/>
  <c r="A6" i="67" s="1"/>
  <c r="A7" i="67" s="1"/>
  <c r="A8" i="67" s="1"/>
  <c r="A9" i="67" s="1"/>
  <c r="A10" i="67" s="1"/>
  <c r="A11" i="67" s="1"/>
  <c r="A12" i="67" s="1"/>
  <c r="A13" i="67" s="1"/>
  <c r="A15" i="67"/>
  <c r="A16" i="67" s="1"/>
  <c r="A17" i="67" s="1"/>
  <c r="A18" i="67" s="1"/>
  <c r="A19" i="67" s="1"/>
  <c r="A20" i="67" s="1"/>
  <c r="A21" i="67" s="1"/>
  <c r="A22" i="67" s="1"/>
  <c r="A23" i="67" s="1"/>
  <c r="A24" i="67" s="1"/>
  <c r="D7" i="66"/>
  <c r="D13" i="66" s="1"/>
  <c r="D19" i="66" s="1"/>
  <c r="D25" i="66" s="1"/>
  <c r="E7" i="66"/>
  <c r="E13" i="66" s="1"/>
  <c r="E19" i="66" s="1"/>
  <c r="E25" i="66" s="1"/>
  <c r="D8" i="66"/>
  <c r="D14" i="66" s="1"/>
  <c r="D20" i="66" s="1"/>
  <c r="D26" i="66" s="1"/>
  <c r="E8" i="66"/>
  <c r="E14" i="66" s="1"/>
  <c r="E20" i="66" s="1"/>
  <c r="E26" i="66" s="1"/>
  <c r="D9" i="66"/>
  <c r="D15" i="66" s="1"/>
  <c r="D21" i="66" s="1"/>
  <c r="D27" i="66" s="1"/>
  <c r="E9" i="66"/>
  <c r="E15" i="66" s="1"/>
  <c r="E21" i="66" s="1"/>
  <c r="E27" i="66" s="1"/>
  <c r="E6" i="66"/>
  <c r="E12" i="66" s="1"/>
  <c r="E18" i="66" s="1"/>
  <c r="E24" i="66" s="1"/>
  <c r="E5" i="64"/>
  <c r="C31" i="65" s="1"/>
  <c r="D6" i="66"/>
  <c r="D12" i="66" s="1"/>
  <c r="D18" i="66" s="1"/>
  <c r="H6" i="66"/>
  <c r="H9" i="66" s="1"/>
  <c r="F7" i="66"/>
  <c r="F13" i="66" s="1"/>
  <c r="F19" i="66" s="1"/>
  <c r="F25" i="66" s="1"/>
  <c r="F8" i="66"/>
  <c r="F14" i="66" s="1"/>
  <c r="F20" i="66" s="1"/>
  <c r="F26" i="66" s="1"/>
  <c r="F9" i="66"/>
  <c r="F15" i="66" s="1"/>
  <c r="F21" i="66" s="1"/>
  <c r="F27" i="66" s="1"/>
  <c r="D16" i="66"/>
  <c r="D22" i="66" s="1"/>
  <c r="D28" i="66" s="1"/>
  <c r="E16" i="66"/>
  <c r="E22" i="66" s="1"/>
  <c r="E28" i="66" s="1"/>
  <c r="F10" i="66"/>
  <c r="F16" i="66" s="1"/>
  <c r="F22" i="66" s="1"/>
  <c r="F28" i="66" s="1"/>
  <c r="F6" i="66"/>
  <c r="F12" i="66" s="1"/>
  <c r="F18" i="66" s="1"/>
  <c r="F24" i="66" s="1"/>
  <c r="B23" i="66"/>
  <c r="A23" i="66"/>
  <c r="B17" i="66"/>
  <c r="A17" i="66"/>
  <c r="B11" i="66"/>
  <c r="A11" i="66"/>
  <c r="B30" i="67"/>
  <c r="B5" i="66" s="1"/>
  <c r="A5" i="66"/>
  <c r="D4" i="67"/>
  <c r="F4" i="67" s="1"/>
  <c r="D5" i="67"/>
  <c r="F5" i="67" s="1"/>
  <c r="D6" i="67"/>
  <c r="F6" i="67" s="1"/>
  <c r="F7" i="67"/>
  <c r="F8" i="67"/>
  <c r="D9" i="67"/>
  <c r="F9" i="67" s="1"/>
  <c r="F10" i="67"/>
  <c r="F11" i="67"/>
  <c r="F12" i="67"/>
  <c r="F13" i="67"/>
  <c r="F14" i="67"/>
  <c r="F15" i="67"/>
  <c r="F16" i="67"/>
  <c r="F17" i="67"/>
  <c r="F18" i="67"/>
  <c r="F19" i="67"/>
  <c r="F20" i="67"/>
  <c r="F21" i="67"/>
  <c r="F22" i="67"/>
  <c r="F23" i="67"/>
  <c r="F24" i="67"/>
  <c r="E3" i="64"/>
  <c r="A31" i="67"/>
  <c r="B31" i="67"/>
  <c r="E4" i="64"/>
  <c r="A32" i="67"/>
  <c r="B32" i="67"/>
  <c r="A33" i="67"/>
  <c r="B33" i="67"/>
  <c r="E6" i="64"/>
  <c r="A30" i="67"/>
  <c r="B35" i="67"/>
  <c r="A35" i="67"/>
  <c r="F14" i="72"/>
  <c r="F13" i="72"/>
  <c r="F12" i="72"/>
  <c r="F10" i="72"/>
  <c r="G10" i="72" s="1"/>
  <c r="A15" i="79"/>
  <c r="B15" i="79"/>
  <c r="A16" i="79"/>
  <c r="B16" i="79"/>
  <c r="C16" i="79"/>
  <c r="A17" i="79"/>
  <c r="B17" i="79"/>
  <c r="C17" i="79"/>
  <c r="A18" i="79"/>
  <c r="B18" i="79"/>
  <c r="C18" i="79"/>
  <c r="A19" i="79"/>
  <c r="B19" i="79"/>
  <c r="C19" i="79"/>
  <c r="A20" i="79"/>
  <c r="C20" i="79"/>
  <c r="A21" i="79"/>
  <c r="B21" i="79"/>
  <c r="C21" i="79"/>
  <c r="A22" i="79"/>
  <c r="B22" i="79"/>
  <c r="C22" i="79"/>
  <c r="A23" i="79"/>
  <c r="B23" i="79"/>
  <c r="A24" i="79"/>
  <c r="A25" i="79"/>
  <c r="A26" i="79"/>
  <c r="A27" i="79"/>
  <c r="C14" i="79"/>
  <c r="B14" i="79"/>
  <c r="A14" i="79"/>
  <c r="A47" i="78"/>
  <c r="A43" i="78"/>
  <c r="A39" i="78"/>
  <c r="B38" i="78"/>
  <c r="A38" i="78"/>
  <c r="C19" i="78"/>
  <c r="C40" i="78" s="1"/>
  <c r="C44" i="78" s="1"/>
  <c r="C48" i="78" s="1"/>
  <c r="D6" i="78"/>
  <c r="E19" i="78"/>
  <c r="E40" i="78" s="1"/>
  <c r="E44" i="78" s="1"/>
  <c r="E48" i="78" s="1"/>
  <c r="F6" i="78"/>
  <c r="F19" i="78" s="1"/>
  <c r="F40" i="78" s="1"/>
  <c r="F44" i="78" s="1"/>
  <c r="F48" i="78" s="1"/>
  <c r="C20" i="78"/>
  <c r="C41" i="78" s="1"/>
  <c r="C45" i="78" s="1"/>
  <c r="C49" i="78" s="1"/>
  <c r="D7" i="78"/>
  <c r="D28" i="78" s="1"/>
  <c r="D32" i="78" s="1"/>
  <c r="D36" i="78" s="1"/>
  <c r="E20" i="78"/>
  <c r="E41" i="78" s="1"/>
  <c r="E45" i="78" s="1"/>
  <c r="E49" i="78" s="1"/>
  <c r="F7" i="78"/>
  <c r="F20" i="78" s="1"/>
  <c r="F41" i="78" s="1"/>
  <c r="F45" i="78" s="1"/>
  <c r="F49" i="78" s="1"/>
  <c r="C21" i="78"/>
  <c r="C42" i="78" s="1"/>
  <c r="C46" i="78" s="1"/>
  <c r="C50" i="78" s="1"/>
  <c r="D21" i="78"/>
  <c r="D42" i="78" s="1"/>
  <c r="D46" i="78" s="1"/>
  <c r="D50" i="78" s="1"/>
  <c r="E21" i="78"/>
  <c r="E42" i="78" s="1"/>
  <c r="E46" i="78" s="1"/>
  <c r="E50" i="78" s="1"/>
  <c r="F8" i="78"/>
  <c r="F17" i="78" s="1"/>
  <c r="A34" i="78"/>
  <c r="B30" i="78"/>
  <c r="A30" i="78"/>
  <c r="A26" i="78"/>
  <c r="B22" i="78"/>
  <c r="A22" i="78"/>
  <c r="B18" i="78"/>
  <c r="A18" i="78"/>
  <c r="C17" i="78"/>
  <c r="B14" i="78"/>
  <c r="A14" i="78"/>
  <c r="B10" i="78"/>
  <c r="A10" i="78"/>
  <c r="B9" i="78"/>
  <c r="A9" i="78"/>
  <c r="B5" i="78"/>
  <c r="A5" i="78"/>
  <c r="A17" i="77"/>
  <c r="B17" i="77"/>
  <c r="A18" i="77"/>
  <c r="B18" i="77"/>
  <c r="A19" i="77"/>
  <c r="B19" i="77"/>
  <c r="A20" i="77"/>
  <c r="B20" i="77"/>
  <c r="A21" i="77"/>
  <c r="B21" i="77"/>
  <c r="A22" i="77"/>
  <c r="A23" i="77"/>
  <c r="B23" i="77"/>
  <c r="A24" i="77"/>
  <c r="B24" i="77"/>
  <c r="A25" i="77"/>
  <c r="B25" i="77"/>
  <c r="A26" i="77"/>
  <c r="A27" i="77"/>
  <c r="A28" i="77"/>
  <c r="A29" i="77"/>
  <c r="A16" i="77"/>
  <c r="B16" i="69"/>
  <c r="B22" i="77" s="1"/>
  <c r="B16" i="77"/>
  <c r="E11" i="79"/>
  <c r="E10" i="79"/>
  <c r="D10" i="79"/>
  <c r="C10" i="79"/>
  <c r="E9" i="79"/>
  <c r="D9" i="79"/>
  <c r="C9" i="79"/>
  <c r="E8" i="79"/>
  <c r="D8" i="79"/>
  <c r="C8" i="79"/>
  <c r="E7" i="79"/>
  <c r="D7" i="79"/>
  <c r="C7" i="79"/>
  <c r="E6" i="79"/>
  <c r="D6" i="79"/>
  <c r="C6" i="79"/>
  <c r="E5" i="79"/>
  <c r="D5" i="79"/>
  <c r="C5" i="79"/>
  <c r="J4" i="78"/>
  <c r="D29" i="78"/>
  <c r="D33" i="78" s="1"/>
  <c r="D37" i="78" s="1"/>
  <c r="F23" i="78"/>
  <c r="F27" i="78" s="1"/>
  <c r="F31" i="78" s="1"/>
  <c r="F35" i="78" s="1"/>
  <c r="D25" i="78"/>
  <c r="E17" i="78"/>
  <c r="D17" i="78"/>
  <c r="E16" i="78"/>
  <c r="E15" i="78"/>
  <c r="E13" i="78"/>
  <c r="D13" i="78"/>
  <c r="E12" i="78"/>
  <c r="E11" i="78"/>
  <c r="E6" i="77"/>
  <c r="F6" i="77" s="1"/>
  <c r="E7" i="77"/>
  <c r="F7" i="77" s="1"/>
  <c r="H7" i="77" s="1"/>
  <c r="E8" i="77"/>
  <c r="F8" i="77" s="1"/>
  <c r="H8" i="77" s="1"/>
  <c r="E9" i="77"/>
  <c r="F9" i="77" s="1"/>
  <c r="H9" i="77" s="1"/>
  <c r="E10" i="77"/>
  <c r="F10" i="77" s="1"/>
  <c r="H10" i="77" s="1"/>
  <c r="E11" i="77"/>
  <c r="F11" i="77" s="1"/>
  <c r="H11" i="77" s="1"/>
  <c r="E12" i="77"/>
  <c r="F12" i="77" s="1"/>
  <c r="H12" i="77" s="1"/>
  <c r="E13" i="77"/>
  <c r="F13" i="77" s="1"/>
  <c r="G13" i="77"/>
  <c r="F4" i="65"/>
  <c r="H4" i="65" s="1"/>
  <c r="F5" i="65"/>
  <c r="H5" i="65" s="1"/>
  <c r="F7" i="65"/>
  <c r="H7" i="65"/>
  <c r="F9" i="65"/>
  <c r="H9" i="65" s="1"/>
  <c r="F12" i="65"/>
  <c r="H12" i="65" s="1"/>
  <c r="F13" i="65"/>
  <c r="H13" i="65" s="1"/>
  <c r="F14" i="65"/>
  <c r="H14" i="65" s="1"/>
  <c r="F15" i="65"/>
  <c r="H15" i="65" s="1"/>
  <c r="F16" i="65"/>
  <c r="H16" i="65" s="1"/>
  <c r="F21" i="65"/>
  <c r="H21" i="65" s="1"/>
  <c r="F22" i="65"/>
  <c r="H22" i="65" s="1"/>
  <c r="F6" i="65"/>
  <c r="H6" i="65" s="1"/>
  <c r="F8" i="65"/>
  <c r="H8" i="65" s="1"/>
  <c r="F10" i="65"/>
  <c r="H10" i="65" s="1"/>
  <c r="F11" i="65"/>
  <c r="H11" i="65" s="1"/>
  <c r="F17" i="65"/>
  <c r="H17" i="65" s="1"/>
  <c r="F18" i="65"/>
  <c r="H18" i="65" s="1"/>
  <c r="F19" i="65"/>
  <c r="H19" i="65" s="1"/>
  <c r="F20" i="65"/>
  <c r="H20" i="65" s="1"/>
  <c r="G23" i="65"/>
  <c r="E23" i="65"/>
  <c r="F23" i="65" s="1"/>
  <c r="H12" i="72"/>
  <c r="I12" i="72" s="1"/>
  <c r="H13" i="72"/>
  <c r="I13" i="72" s="1"/>
  <c r="H14" i="72"/>
  <c r="I14" i="72" s="1"/>
  <c r="H10" i="72"/>
  <c r="I10" i="72" s="1"/>
  <c r="E21" i="74"/>
  <c r="E22" i="74"/>
  <c r="E20" i="74"/>
  <c r="U11" i="76"/>
  <c r="P11" i="76" s="1"/>
  <c r="M11" i="76"/>
  <c r="N11" i="76" s="1"/>
  <c r="Q11" i="76" s="1"/>
  <c r="AQ11" i="76" s="1"/>
  <c r="M20" i="76"/>
  <c r="N20" i="76" s="1"/>
  <c r="W19" i="76"/>
  <c r="M21" i="76"/>
  <c r="M22" i="76"/>
  <c r="M23" i="76"/>
  <c r="N23" i="76" s="1"/>
  <c r="J26" i="76"/>
  <c r="AH26" i="76" s="1"/>
  <c r="W25" i="76"/>
  <c r="J27" i="76"/>
  <c r="M27" i="76" s="1"/>
  <c r="AR27" i="76" s="1"/>
  <c r="J28" i="76"/>
  <c r="M28" i="76" s="1"/>
  <c r="M29" i="76"/>
  <c r="N29" i="76" s="1"/>
  <c r="M30" i="76"/>
  <c r="N30" i="76" s="1"/>
  <c r="M34" i="76"/>
  <c r="AR34" i="76" s="1"/>
  <c r="W33" i="76"/>
  <c r="M35" i="76"/>
  <c r="N35" i="76" s="1"/>
  <c r="M36" i="76"/>
  <c r="N36" i="76" s="1"/>
  <c r="M37" i="76"/>
  <c r="N37" i="76" s="1"/>
  <c r="M38" i="76"/>
  <c r="N38" i="76" s="1"/>
  <c r="O38" i="76" s="1"/>
  <c r="Q38" i="76" s="1"/>
  <c r="BA38" i="76" s="1"/>
  <c r="M39" i="76"/>
  <c r="N39" i="76" s="1"/>
  <c r="M44" i="76"/>
  <c r="N44" i="76" s="1"/>
  <c r="W43" i="76"/>
  <c r="M45" i="76"/>
  <c r="N45" i="76" s="1"/>
  <c r="M46" i="76"/>
  <c r="N46" i="76" s="1"/>
  <c r="M47" i="76"/>
  <c r="N47" i="76" s="1"/>
  <c r="M48" i="76"/>
  <c r="M54" i="76"/>
  <c r="N54" i="76" s="1"/>
  <c r="W53" i="76"/>
  <c r="M55" i="76"/>
  <c r="N55" i="76" s="1"/>
  <c r="M56" i="76"/>
  <c r="M57" i="76"/>
  <c r="N57" i="76" s="1"/>
  <c r="M58" i="76"/>
  <c r="N58" i="76" s="1"/>
  <c r="M59" i="76"/>
  <c r="N59" i="76" s="1"/>
  <c r="M64" i="76"/>
  <c r="J65" i="76"/>
  <c r="M65" i="76" s="1"/>
  <c r="N65" i="76" s="1"/>
  <c r="O65" i="76" s="1"/>
  <c r="J66" i="76"/>
  <c r="M67" i="76"/>
  <c r="N67" i="76" s="1"/>
  <c r="M68" i="76"/>
  <c r="N68" i="76" s="1"/>
  <c r="J69" i="76"/>
  <c r="J73" i="76"/>
  <c r="M73" i="76" s="1"/>
  <c r="N73" i="76" s="1"/>
  <c r="W72" i="76"/>
  <c r="J74" i="76"/>
  <c r="M74" i="76" s="1"/>
  <c r="N74" i="76" s="1"/>
  <c r="J75" i="76"/>
  <c r="M75" i="76" s="1"/>
  <c r="J76" i="76"/>
  <c r="AS76" i="76" s="1"/>
  <c r="J77" i="76"/>
  <c r="M77" i="76" s="1"/>
  <c r="N77" i="76" s="1"/>
  <c r="J78" i="76"/>
  <c r="M78" i="76" s="1"/>
  <c r="N78" i="76" s="1"/>
  <c r="M84" i="76"/>
  <c r="N84" i="76" s="1"/>
  <c r="M85" i="76"/>
  <c r="N85" i="76" s="1"/>
  <c r="O85" i="76" s="1"/>
  <c r="AM85" i="76" s="1"/>
  <c r="M86" i="76"/>
  <c r="N86" i="76" s="1"/>
  <c r="M87" i="76"/>
  <c r="N87" i="76" s="1"/>
  <c r="O87" i="76" s="1"/>
  <c r="M93" i="76"/>
  <c r="M94" i="76"/>
  <c r="N94" i="76" s="1"/>
  <c r="M95" i="76"/>
  <c r="N95" i="76" s="1"/>
  <c r="M109" i="76"/>
  <c r="N109" i="76" s="1"/>
  <c r="M110" i="76"/>
  <c r="N110" i="76" s="1"/>
  <c r="M111" i="76"/>
  <c r="N111" i="76" s="1"/>
  <c r="O111" i="76" s="1"/>
  <c r="AM111" i="76" s="1"/>
  <c r="M112" i="76"/>
  <c r="N112" i="76" s="1"/>
  <c r="O112" i="76" s="1"/>
  <c r="M113" i="76"/>
  <c r="N113" i="76" s="1"/>
  <c r="O113" i="76" s="1"/>
  <c r="M114" i="76"/>
  <c r="N114" i="76" s="1"/>
  <c r="M115" i="76"/>
  <c r="N115" i="76" s="1"/>
  <c r="O115" i="76" s="1"/>
  <c r="M116" i="76"/>
  <c r="N116" i="76" s="1"/>
  <c r="M120" i="76"/>
  <c r="N120" i="76" s="1"/>
  <c r="O120" i="76" s="1"/>
  <c r="M121" i="76"/>
  <c r="N121" i="76" s="1"/>
  <c r="O121" i="76" s="1"/>
  <c r="M122" i="76"/>
  <c r="N122" i="76" s="1"/>
  <c r="O122" i="76" s="1"/>
  <c r="AM122" i="76" s="1"/>
  <c r="M123" i="76"/>
  <c r="N123" i="76" s="1"/>
  <c r="M124" i="76"/>
  <c r="N124" i="76" s="1"/>
  <c r="O124" i="76" s="1"/>
  <c r="M125" i="76"/>
  <c r="N125" i="76" s="1"/>
  <c r="M126" i="76"/>
  <c r="N126" i="76" s="1"/>
  <c r="J130" i="76"/>
  <c r="M130" i="76" s="1"/>
  <c r="J131" i="76"/>
  <c r="J132" i="76"/>
  <c r="M132" i="76" s="1"/>
  <c r="AR132" i="76" s="1"/>
  <c r="M142" i="76"/>
  <c r="W141" i="76"/>
  <c r="M145" i="76"/>
  <c r="N145" i="76" s="1"/>
  <c r="M146" i="76"/>
  <c r="N146" i="76" s="1"/>
  <c r="M147" i="76"/>
  <c r="N147" i="76" s="1"/>
  <c r="M148" i="76"/>
  <c r="N148" i="76" s="1"/>
  <c r="M149" i="76"/>
  <c r="N149" i="76" s="1"/>
  <c r="M150" i="76"/>
  <c r="N150" i="76" s="1"/>
  <c r="M151" i="76"/>
  <c r="M152" i="76"/>
  <c r="N152" i="76" s="1"/>
  <c r="M153" i="76"/>
  <c r="N153" i="76" s="1"/>
  <c r="J170" i="76"/>
  <c r="AS170" i="76" s="1"/>
  <c r="J171" i="76"/>
  <c r="J172" i="76"/>
  <c r="J173" i="76"/>
  <c r="M179" i="76"/>
  <c r="N179" i="76" s="1"/>
  <c r="O179" i="76" s="1"/>
  <c r="M180" i="76"/>
  <c r="M181" i="76"/>
  <c r="N181" i="76" s="1"/>
  <c r="O181" i="76" s="1"/>
  <c r="M182" i="76"/>
  <c r="N182" i="76" s="1"/>
  <c r="M183" i="76"/>
  <c r="N183" i="76" s="1"/>
  <c r="O183" i="76" s="1"/>
  <c r="M184" i="76"/>
  <c r="M185" i="76"/>
  <c r="N185" i="76" s="1"/>
  <c r="M190" i="76"/>
  <c r="N190" i="76" s="1"/>
  <c r="M191" i="76"/>
  <c r="N191" i="76" s="1"/>
  <c r="O191" i="76" s="1"/>
  <c r="AM191" i="76" s="1"/>
  <c r="M192" i="76"/>
  <c r="M193" i="76"/>
  <c r="N193" i="76" s="1"/>
  <c r="M194" i="76"/>
  <c r="N194" i="76" s="1"/>
  <c r="M195" i="76"/>
  <c r="N195" i="76" s="1"/>
  <c r="O195" i="76" s="1"/>
  <c r="AM195" i="76" s="1"/>
  <c r="M196" i="76"/>
  <c r="J200" i="76"/>
  <c r="J199" i="76" s="1"/>
  <c r="M201" i="76"/>
  <c r="N201" i="76" s="1"/>
  <c r="M202" i="76"/>
  <c r="N202" i="76" s="1"/>
  <c r="O202" i="76" s="1"/>
  <c r="AM202" i="76" s="1"/>
  <c r="M203" i="76"/>
  <c r="N203" i="76" s="1"/>
  <c r="M204" i="76"/>
  <c r="N204" i="76" s="1"/>
  <c r="M205" i="76"/>
  <c r="N205" i="76" s="1"/>
  <c r="M206" i="76"/>
  <c r="N206" i="76" s="1"/>
  <c r="M207" i="76"/>
  <c r="N207" i="76" s="1"/>
  <c r="M215" i="76"/>
  <c r="M216" i="76"/>
  <c r="N216" i="76" s="1"/>
  <c r="M217" i="76"/>
  <c r="N217" i="76" s="1"/>
  <c r="O217" i="76" s="1"/>
  <c r="AM217" i="76" s="1"/>
  <c r="M218" i="76"/>
  <c r="M219" i="76"/>
  <c r="N219" i="76" s="1"/>
  <c r="O219" i="76" s="1"/>
  <c r="M220" i="76"/>
  <c r="N220" i="76" s="1"/>
  <c r="O220" i="76" s="1"/>
  <c r="M221" i="76"/>
  <c r="N221" i="76" s="1"/>
  <c r="O221" i="76" s="1"/>
  <c r="AM221" i="76" s="1"/>
  <c r="M225" i="76"/>
  <c r="M226" i="76"/>
  <c r="N226" i="76" s="1"/>
  <c r="O226" i="76" s="1"/>
  <c r="M227" i="76"/>
  <c r="N227" i="76" s="1"/>
  <c r="M228" i="76"/>
  <c r="N228" i="76" s="1"/>
  <c r="O228" i="76" s="1"/>
  <c r="AM228" i="76" s="1"/>
  <c r="M229" i="76"/>
  <c r="N229" i="76" s="1"/>
  <c r="M230" i="76"/>
  <c r="N230" i="76" s="1"/>
  <c r="O230" i="76" s="1"/>
  <c r="M231" i="76"/>
  <c r="N231" i="76" s="1"/>
  <c r="J235" i="76"/>
  <c r="AH235" i="76" s="1"/>
  <c r="J236" i="76"/>
  <c r="M236" i="76" s="1"/>
  <c r="J244" i="76"/>
  <c r="M244" i="76" s="1"/>
  <c r="J245" i="76"/>
  <c r="AS245" i="76" s="1"/>
  <c r="J246" i="76"/>
  <c r="M246" i="76" s="1"/>
  <c r="N246" i="76" s="1"/>
  <c r="J247" i="76"/>
  <c r="M247" i="76" s="1"/>
  <c r="N247" i="76" s="1"/>
  <c r="M252" i="76"/>
  <c r="N252" i="76" s="1"/>
  <c r="M253" i="76"/>
  <c r="N253" i="76" s="1"/>
  <c r="M254" i="76"/>
  <c r="N254" i="76" s="1"/>
  <c r="M255" i="76"/>
  <c r="AR255" i="76" s="1"/>
  <c r="M256" i="76"/>
  <c r="N256" i="76" s="1"/>
  <c r="M257" i="76"/>
  <c r="N257" i="76" s="1"/>
  <c r="M258" i="76"/>
  <c r="N258" i="76" s="1"/>
  <c r="M259" i="76"/>
  <c r="J278" i="76"/>
  <c r="M278" i="76" s="1"/>
  <c r="J279" i="76"/>
  <c r="J280" i="76"/>
  <c r="M280" i="76" s="1"/>
  <c r="N280" i="76" s="1"/>
  <c r="M299" i="76"/>
  <c r="N299" i="76" s="1"/>
  <c r="O299" i="76" s="1"/>
  <c r="AM299" i="76" s="1"/>
  <c r="M300" i="76"/>
  <c r="N300" i="76" s="1"/>
  <c r="M301" i="76"/>
  <c r="N301" i="76" s="1"/>
  <c r="M302" i="76"/>
  <c r="N302" i="76" s="1"/>
  <c r="O302" i="76" s="1"/>
  <c r="M303" i="76"/>
  <c r="N303" i="76" s="1"/>
  <c r="M304" i="76"/>
  <c r="N304" i="76" s="1"/>
  <c r="O304" i="76" s="1"/>
  <c r="M319" i="76"/>
  <c r="N319" i="76" s="1"/>
  <c r="O319" i="76" s="1"/>
  <c r="M320" i="76"/>
  <c r="N320" i="76" s="1"/>
  <c r="O320" i="76" s="1"/>
  <c r="M321" i="76"/>
  <c r="N321" i="76" s="1"/>
  <c r="O321" i="76" s="1"/>
  <c r="AM321" i="76" s="1"/>
  <c r="M322" i="76"/>
  <c r="N322" i="76" s="1"/>
  <c r="O322" i="76" s="1"/>
  <c r="M323" i="76"/>
  <c r="N323" i="76" s="1"/>
  <c r="M324" i="76"/>
  <c r="N324" i="76" s="1"/>
  <c r="O324" i="76" s="1"/>
  <c r="M325" i="76"/>
  <c r="N325" i="76" s="1"/>
  <c r="O325" i="76" s="1"/>
  <c r="AM325" i="76" s="1"/>
  <c r="M326" i="76"/>
  <c r="N326" i="76" s="1"/>
  <c r="O326" i="76" s="1"/>
  <c r="M327" i="76"/>
  <c r="N327" i="76" s="1"/>
  <c r="M328" i="76"/>
  <c r="J331" i="76"/>
  <c r="J332" i="76"/>
  <c r="M332" i="76" s="1"/>
  <c r="N332" i="76" s="1"/>
  <c r="O332" i="76" s="1"/>
  <c r="Q332" i="76" s="1"/>
  <c r="BA332" i="76" s="1"/>
  <c r="J333" i="76"/>
  <c r="M333" i="76" s="1"/>
  <c r="N333" i="76" s="1"/>
  <c r="J334" i="76"/>
  <c r="M334" i="76" s="1"/>
  <c r="N334" i="76" s="1"/>
  <c r="J338" i="76"/>
  <c r="M338" i="76" s="1"/>
  <c r="N338" i="76" s="1"/>
  <c r="O338" i="76" s="1"/>
  <c r="J339" i="76"/>
  <c r="J340" i="76"/>
  <c r="M340" i="76" s="1"/>
  <c r="N340" i="76" s="1"/>
  <c r="O340" i="76" s="1"/>
  <c r="AM340" i="76" s="1"/>
  <c r="J341" i="76"/>
  <c r="M341" i="76" s="1"/>
  <c r="C30" i="65"/>
  <c r="N130" i="76"/>
  <c r="AC5" i="76"/>
  <c r="D10" i="80"/>
  <c r="N10" i="82"/>
  <c r="B20" i="79"/>
  <c r="B26" i="78"/>
  <c r="D50" i="26"/>
  <c r="E50" i="26" s="1"/>
  <c r="U102" i="76"/>
  <c r="AO102" i="76" s="1"/>
  <c r="U103" i="76"/>
  <c r="U104" i="76"/>
  <c r="V104" i="76" s="1"/>
  <c r="U105" i="76"/>
  <c r="U106" i="76"/>
  <c r="C12" i="46"/>
  <c r="C11" i="79" s="1"/>
  <c r="D1691" i="45"/>
  <c r="F1691" i="45" s="1"/>
  <c r="C1691" i="45"/>
  <c r="D1690" i="45"/>
  <c r="F1690" i="45" s="1"/>
  <c r="C1690" i="45"/>
  <c r="D1689" i="45"/>
  <c r="F1689" i="45" s="1"/>
  <c r="C1689" i="45"/>
  <c r="D1688" i="45"/>
  <c r="F1688" i="45" s="1"/>
  <c r="C1688" i="45"/>
  <c r="D1687" i="45"/>
  <c r="F1687" i="45" s="1"/>
  <c r="C1687" i="45"/>
  <c r="D1686" i="45"/>
  <c r="F1686" i="45" s="1"/>
  <c r="C1686" i="45"/>
  <c r="D1685" i="45"/>
  <c r="F1685" i="45" s="1"/>
  <c r="C1685" i="45"/>
  <c r="D1684" i="45"/>
  <c r="F1684" i="45" s="1"/>
  <c r="C1684" i="45"/>
  <c r="D1683" i="45"/>
  <c r="F1683" i="45" s="1"/>
  <c r="C1683" i="45"/>
  <c r="D1682" i="45"/>
  <c r="F1682" i="45" s="1"/>
  <c r="C1682" i="45"/>
  <c r="D1681" i="45"/>
  <c r="F1681" i="45" s="1"/>
  <c r="C1681" i="45"/>
  <c r="D1680" i="45"/>
  <c r="B1680" i="45"/>
  <c r="A1680" i="45"/>
  <c r="D1679" i="45"/>
  <c r="F1679" i="45" s="1"/>
  <c r="C1679" i="45"/>
  <c r="D1678" i="45"/>
  <c r="F1678" i="45" s="1"/>
  <c r="C1678" i="45"/>
  <c r="D1677" i="45"/>
  <c r="F1677" i="45" s="1"/>
  <c r="C1677" i="45"/>
  <c r="D1676" i="45"/>
  <c r="F1676" i="45" s="1"/>
  <c r="C1676" i="45"/>
  <c r="D1675" i="45"/>
  <c r="F1675" i="45" s="1"/>
  <c r="C1675" i="45"/>
  <c r="D1674" i="45"/>
  <c r="F1674" i="45" s="1"/>
  <c r="C1674" i="45"/>
  <c r="D1673" i="45"/>
  <c r="F1673" i="45" s="1"/>
  <c r="C1673" i="45"/>
  <c r="D1672" i="45"/>
  <c r="F1672" i="45" s="1"/>
  <c r="C1672" i="45"/>
  <c r="D1671" i="45"/>
  <c r="F1671" i="45" s="1"/>
  <c r="C1671" i="45"/>
  <c r="D1670" i="45"/>
  <c r="F1670" i="45" s="1"/>
  <c r="C1670" i="45"/>
  <c r="D1669" i="45"/>
  <c r="F1669" i="45" s="1"/>
  <c r="C1669" i="45"/>
  <c r="D1668" i="45"/>
  <c r="B1668" i="45"/>
  <c r="A1668" i="45"/>
  <c r="D1667" i="45"/>
  <c r="F1667" i="45" s="1"/>
  <c r="C1667" i="45"/>
  <c r="D1666" i="45"/>
  <c r="F1666" i="45" s="1"/>
  <c r="C1666" i="45"/>
  <c r="D1665" i="45"/>
  <c r="F1665" i="45" s="1"/>
  <c r="C1665" i="45"/>
  <c r="D1664" i="45"/>
  <c r="F1664" i="45" s="1"/>
  <c r="C1664" i="45"/>
  <c r="D1663" i="45"/>
  <c r="F1663" i="45" s="1"/>
  <c r="C1663" i="45"/>
  <c r="D1662" i="45"/>
  <c r="F1662" i="45" s="1"/>
  <c r="C1662" i="45"/>
  <c r="D1661" i="45"/>
  <c r="F1661" i="45" s="1"/>
  <c r="C1661" i="45"/>
  <c r="D1660" i="45"/>
  <c r="F1660" i="45" s="1"/>
  <c r="C1660" i="45"/>
  <c r="D1659" i="45"/>
  <c r="F1659" i="45" s="1"/>
  <c r="C1659" i="45"/>
  <c r="D1658" i="45"/>
  <c r="F1658" i="45" s="1"/>
  <c r="C1658" i="45"/>
  <c r="D1657" i="45"/>
  <c r="F1657" i="45" s="1"/>
  <c r="C1657" i="45"/>
  <c r="D1656" i="45"/>
  <c r="B1656" i="45"/>
  <c r="A1656" i="45"/>
  <c r="B1655" i="45"/>
  <c r="A1655" i="45"/>
  <c r="D1654" i="45"/>
  <c r="F1654" i="45" s="1"/>
  <c r="C1654" i="45"/>
  <c r="D1653" i="45"/>
  <c r="F1653" i="45" s="1"/>
  <c r="C1653" i="45"/>
  <c r="D1652" i="45"/>
  <c r="F1652" i="45" s="1"/>
  <c r="C1652" i="45"/>
  <c r="D1651" i="45"/>
  <c r="F1651" i="45" s="1"/>
  <c r="C1651" i="45"/>
  <c r="D1650" i="45"/>
  <c r="F1650" i="45" s="1"/>
  <c r="C1650" i="45"/>
  <c r="D1649" i="45"/>
  <c r="F1649" i="45" s="1"/>
  <c r="C1649" i="45"/>
  <c r="D1648" i="45"/>
  <c r="F1648" i="45" s="1"/>
  <c r="C1648" i="45"/>
  <c r="D1647" i="45"/>
  <c r="F1647" i="45" s="1"/>
  <c r="C1647" i="45"/>
  <c r="D1646" i="45"/>
  <c r="F1646" i="45" s="1"/>
  <c r="C1646" i="45"/>
  <c r="D1645" i="45"/>
  <c r="F1645" i="45" s="1"/>
  <c r="C1645" i="45"/>
  <c r="D1644" i="45"/>
  <c r="F1644" i="45" s="1"/>
  <c r="C1644" i="45"/>
  <c r="D1643" i="45"/>
  <c r="B1643" i="45"/>
  <c r="A1643" i="45"/>
  <c r="D1642" i="45"/>
  <c r="F1642" i="45" s="1"/>
  <c r="C1642" i="45"/>
  <c r="D1641" i="45"/>
  <c r="F1641" i="45" s="1"/>
  <c r="C1641" i="45"/>
  <c r="D1640" i="45"/>
  <c r="F1640" i="45" s="1"/>
  <c r="C1640" i="45"/>
  <c r="D1639" i="45"/>
  <c r="F1639" i="45" s="1"/>
  <c r="C1639" i="45"/>
  <c r="D1638" i="45"/>
  <c r="F1638" i="45" s="1"/>
  <c r="C1638" i="45"/>
  <c r="D1637" i="45"/>
  <c r="F1637" i="45" s="1"/>
  <c r="C1637" i="45"/>
  <c r="D1636" i="45"/>
  <c r="F1636" i="45" s="1"/>
  <c r="C1636" i="45"/>
  <c r="D1635" i="45"/>
  <c r="F1635" i="45" s="1"/>
  <c r="C1635" i="45"/>
  <c r="D1634" i="45"/>
  <c r="F1634" i="45" s="1"/>
  <c r="C1634" i="45"/>
  <c r="D1633" i="45"/>
  <c r="F1633" i="45" s="1"/>
  <c r="C1633" i="45"/>
  <c r="D1632" i="45"/>
  <c r="F1632" i="45" s="1"/>
  <c r="C1632" i="45"/>
  <c r="D1631" i="45"/>
  <c r="B1631" i="45"/>
  <c r="A1631" i="45"/>
  <c r="D1630" i="45"/>
  <c r="F1630" i="45" s="1"/>
  <c r="C1630" i="45"/>
  <c r="D1629" i="45"/>
  <c r="F1629" i="45" s="1"/>
  <c r="C1629" i="45"/>
  <c r="D1628" i="45"/>
  <c r="F1628" i="45" s="1"/>
  <c r="C1628" i="45"/>
  <c r="D1627" i="45"/>
  <c r="F1627" i="45" s="1"/>
  <c r="C1627" i="45"/>
  <c r="D1626" i="45"/>
  <c r="F1626" i="45" s="1"/>
  <c r="C1626" i="45"/>
  <c r="D1625" i="45"/>
  <c r="F1625" i="45" s="1"/>
  <c r="C1625" i="45"/>
  <c r="D1624" i="45"/>
  <c r="F1624" i="45" s="1"/>
  <c r="C1624" i="45"/>
  <c r="D1623" i="45"/>
  <c r="F1623" i="45" s="1"/>
  <c r="C1623" i="45"/>
  <c r="D1622" i="45"/>
  <c r="F1622" i="45" s="1"/>
  <c r="C1622" i="45"/>
  <c r="D1621" i="45"/>
  <c r="F1621" i="45" s="1"/>
  <c r="C1621" i="45"/>
  <c r="D1620" i="45"/>
  <c r="F1620" i="45" s="1"/>
  <c r="C1620" i="45"/>
  <c r="D1619" i="45"/>
  <c r="B1619" i="45"/>
  <c r="A1619" i="45"/>
  <c r="D1618" i="45"/>
  <c r="F1618" i="45" s="1"/>
  <c r="C1618" i="45"/>
  <c r="D1617" i="45"/>
  <c r="F1617" i="45" s="1"/>
  <c r="C1617" i="45"/>
  <c r="D1616" i="45"/>
  <c r="F1616" i="45" s="1"/>
  <c r="C1616" i="45"/>
  <c r="D1615" i="45"/>
  <c r="F1615" i="45" s="1"/>
  <c r="C1615" i="45"/>
  <c r="D1614" i="45"/>
  <c r="F1614" i="45" s="1"/>
  <c r="C1614" i="45"/>
  <c r="D1613" i="45"/>
  <c r="F1613" i="45" s="1"/>
  <c r="C1613" i="45"/>
  <c r="D1612" i="45"/>
  <c r="F1612" i="45" s="1"/>
  <c r="C1612" i="45"/>
  <c r="D1611" i="45"/>
  <c r="F1611" i="45" s="1"/>
  <c r="C1611" i="45"/>
  <c r="D1610" i="45"/>
  <c r="F1610" i="45" s="1"/>
  <c r="C1610" i="45"/>
  <c r="D1609" i="45"/>
  <c r="F1609" i="45" s="1"/>
  <c r="C1609" i="45"/>
  <c r="D1608" i="45"/>
  <c r="F1608" i="45" s="1"/>
  <c r="C1608" i="45"/>
  <c r="D1607" i="45"/>
  <c r="B1607" i="45"/>
  <c r="A1607" i="45"/>
  <c r="D1606" i="45"/>
  <c r="F1606" i="45" s="1"/>
  <c r="C1606" i="45"/>
  <c r="D1605" i="45"/>
  <c r="F1605" i="45" s="1"/>
  <c r="C1605" i="45"/>
  <c r="D1604" i="45"/>
  <c r="F1604" i="45" s="1"/>
  <c r="C1604" i="45"/>
  <c r="D1603" i="45"/>
  <c r="F1603" i="45" s="1"/>
  <c r="C1603" i="45"/>
  <c r="D1602" i="45"/>
  <c r="F1602" i="45" s="1"/>
  <c r="C1602" i="45"/>
  <c r="D1601" i="45"/>
  <c r="F1601" i="45" s="1"/>
  <c r="C1601" i="45"/>
  <c r="D1600" i="45"/>
  <c r="F1600" i="45" s="1"/>
  <c r="C1600" i="45"/>
  <c r="D1599" i="45"/>
  <c r="F1599" i="45" s="1"/>
  <c r="C1599" i="45"/>
  <c r="D1598" i="45"/>
  <c r="F1598" i="45" s="1"/>
  <c r="C1598" i="45"/>
  <c r="D1597" i="45"/>
  <c r="F1597" i="45" s="1"/>
  <c r="C1597" i="45"/>
  <c r="D1596" i="45"/>
  <c r="F1596" i="45" s="1"/>
  <c r="C1596" i="45"/>
  <c r="D1595" i="45"/>
  <c r="B1595" i="45"/>
  <c r="A1595" i="45"/>
  <c r="B1594" i="45"/>
  <c r="A1594" i="45"/>
  <c r="D1593" i="45"/>
  <c r="F1593" i="45" s="1"/>
  <c r="C1593" i="45"/>
  <c r="D1592" i="45"/>
  <c r="F1592" i="45" s="1"/>
  <c r="C1592" i="45"/>
  <c r="D1591" i="45"/>
  <c r="F1591" i="45" s="1"/>
  <c r="C1591" i="45"/>
  <c r="D1590" i="45"/>
  <c r="F1590" i="45" s="1"/>
  <c r="C1590" i="45"/>
  <c r="D1589" i="45"/>
  <c r="F1589" i="45" s="1"/>
  <c r="C1589" i="45"/>
  <c r="D1588" i="45"/>
  <c r="F1588" i="45" s="1"/>
  <c r="C1588" i="45"/>
  <c r="D1587" i="45"/>
  <c r="F1587" i="45" s="1"/>
  <c r="C1587" i="45"/>
  <c r="D1586" i="45"/>
  <c r="F1586" i="45" s="1"/>
  <c r="C1586" i="45"/>
  <c r="D1585" i="45"/>
  <c r="F1585" i="45" s="1"/>
  <c r="C1585" i="45"/>
  <c r="D1584" i="45"/>
  <c r="F1584" i="45" s="1"/>
  <c r="C1584" i="45"/>
  <c r="D1583" i="45"/>
  <c r="F1583" i="45" s="1"/>
  <c r="C1583" i="45"/>
  <c r="D1582" i="45"/>
  <c r="B1582" i="45"/>
  <c r="A1582" i="45"/>
  <c r="D1581" i="45"/>
  <c r="F1581" i="45" s="1"/>
  <c r="C1581" i="45"/>
  <c r="D1580" i="45"/>
  <c r="F1580" i="45" s="1"/>
  <c r="C1580" i="45"/>
  <c r="D1579" i="45"/>
  <c r="F1579" i="45" s="1"/>
  <c r="C1579" i="45"/>
  <c r="D1578" i="45"/>
  <c r="F1578" i="45" s="1"/>
  <c r="C1578" i="45"/>
  <c r="D1577" i="45"/>
  <c r="F1577" i="45" s="1"/>
  <c r="C1577" i="45"/>
  <c r="D1576" i="45"/>
  <c r="F1576" i="45" s="1"/>
  <c r="C1576" i="45"/>
  <c r="D1575" i="45"/>
  <c r="F1575" i="45" s="1"/>
  <c r="C1575" i="45"/>
  <c r="D1574" i="45"/>
  <c r="F1574" i="45" s="1"/>
  <c r="C1574" i="45"/>
  <c r="D1573" i="45"/>
  <c r="F1573" i="45" s="1"/>
  <c r="C1573" i="45"/>
  <c r="D1572" i="45"/>
  <c r="F1572" i="45" s="1"/>
  <c r="C1572" i="45"/>
  <c r="D1571" i="45"/>
  <c r="F1571" i="45" s="1"/>
  <c r="C1571" i="45"/>
  <c r="D1570" i="45"/>
  <c r="B1570" i="45"/>
  <c r="A1570" i="45"/>
  <c r="D1569" i="45"/>
  <c r="F1569" i="45" s="1"/>
  <c r="C1569" i="45"/>
  <c r="D1568" i="45"/>
  <c r="F1568" i="45" s="1"/>
  <c r="C1568" i="45"/>
  <c r="D1567" i="45"/>
  <c r="F1567" i="45" s="1"/>
  <c r="C1567" i="45"/>
  <c r="D1566" i="45"/>
  <c r="F1566" i="45" s="1"/>
  <c r="C1566" i="45"/>
  <c r="D1565" i="45"/>
  <c r="F1565" i="45" s="1"/>
  <c r="C1565" i="45"/>
  <c r="D1564" i="45"/>
  <c r="F1564" i="45" s="1"/>
  <c r="C1564" i="45"/>
  <c r="D1563" i="45"/>
  <c r="F1563" i="45" s="1"/>
  <c r="C1563" i="45"/>
  <c r="D1562" i="45"/>
  <c r="F1562" i="45" s="1"/>
  <c r="C1562" i="45"/>
  <c r="D1561" i="45"/>
  <c r="F1561" i="45" s="1"/>
  <c r="C1561" i="45"/>
  <c r="D1560" i="45"/>
  <c r="F1560" i="45" s="1"/>
  <c r="C1560" i="45"/>
  <c r="D1559" i="45"/>
  <c r="F1559" i="45" s="1"/>
  <c r="C1559" i="45"/>
  <c r="D1558" i="45"/>
  <c r="B1558" i="45"/>
  <c r="A1558" i="45"/>
  <c r="D1557" i="45"/>
  <c r="F1557" i="45" s="1"/>
  <c r="C1557" i="45"/>
  <c r="D1556" i="45"/>
  <c r="F1556" i="45" s="1"/>
  <c r="C1556" i="45"/>
  <c r="D1555" i="45"/>
  <c r="F1555" i="45" s="1"/>
  <c r="C1555" i="45"/>
  <c r="D1554" i="45"/>
  <c r="F1554" i="45" s="1"/>
  <c r="C1554" i="45"/>
  <c r="D1553" i="45"/>
  <c r="F1553" i="45" s="1"/>
  <c r="C1553" i="45"/>
  <c r="D1552" i="45"/>
  <c r="F1552" i="45" s="1"/>
  <c r="C1552" i="45"/>
  <c r="D1551" i="45"/>
  <c r="F1551" i="45" s="1"/>
  <c r="C1551" i="45"/>
  <c r="D1550" i="45"/>
  <c r="F1550" i="45" s="1"/>
  <c r="C1550" i="45"/>
  <c r="D1549" i="45"/>
  <c r="F1549" i="45" s="1"/>
  <c r="C1549" i="45"/>
  <c r="D1548" i="45"/>
  <c r="F1548" i="45" s="1"/>
  <c r="C1548" i="45"/>
  <c r="D1547" i="45"/>
  <c r="F1547" i="45" s="1"/>
  <c r="C1547" i="45"/>
  <c r="D1546" i="45"/>
  <c r="B1546" i="45"/>
  <c r="A1546" i="45"/>
  <c r="D1545" i="45"/>
  <c r="F1545" i="45" s="1"/>
  <c r="C1545" i="45"/>
  <c r="D1544" i="45"/>
  <c r="F1544" i="45" s="1"/>
  <c r="C1544" i="45"/>
  <c r="D1543" i="45"/>
  <c r="F1543" i="45" s="1"/>
  <c r="C1543" i="45"/>
  <c r="D1542" i="45"/>
  <c r="F1542" i="45" s="1"/>
  <c r="C1542" i="45"/>
  <c r="D1541" i="45"/>
  <c r="F1541" i="45" s="1"/>
  <c r="C1541" i="45"/>
  <c r="D1540" i="45"/>
  <c r="F1540" i="45" s="1"/>
  <c r="C1540" i="45"/>
  <c r="D1539" i="45"/>
  <c r="F1539" i="45" s="1"/>
  <c r="C1539" i="45"/>
  <c r="D1538" i="45"/>
  <c r="F1538" i="45" s="1"/>
  <c r="C1538" i="45"/>
  <c r="D1537" i="45"/>
  <c r="F1537" i="45" s="1"/>
  <c r="C1537" i="45"/>
  <c r="D1536" i="45"/>
  <c r="F1536" i="45" s="1"/>
  <c r="C1536" i="45"/>
  <c r="D1535" i="45"/>
  <c r="F1535" i="45" s="1"/>
  <c r="C1535" i="45"/>
  <c r="D1534" i="45"/>
  <c r="B1534" i="45"/>
  <c r="A1534" i="45"/>
  <c r="D1533" i="45"/>
  <c r="F1533" i="45" s="1"/>
  <c r="C1533" i="45"/>
  <c r="D1532" i="45"/>
  <c r="F1532" i="45" s="1"/>
  <c r="C1532" i="45"/>
  <c r="D1531" i="45"/>
  <c r="F1531" i="45" s="1"/>
  <c r="C1531" i="45"/>
  <c r="D1530" i="45"/>
  <c r="F1530" i="45" s="1"/>
  <c r="C1530" i="45"/>
  <c r="D1529" i="45"/>
  <c r="F1529" i="45" s="1"/>
  <c r="C1529" i="45"/>
  <c r="D1528" i="45"/>
  <c r="F1528" i="45" s="1"/>
  <c r="C1528" i="45"/>
  <c r="D1527" i="45"/>
  <c r="F1527" i="45" s="1"/>
  <c r="C1527" i="45"/>
  <c r="D1526" i="45"/>
  <c r="F1526" i="45" s="1"/>
  <c r="C1526" i="45"/>
  <c r="D1525" i="45"/>
  <c r="F1525" i="45" s="1"/>
  <c r="C1525" i="45"/>
  <c r="D1524" i="45"/>
  <c r="F1524" i="45" s="1"/>
  <c r="C1524" i="45"/>
  <c r="D1523" i="45"/>
  <c r="F1523" i="45" s="1"/>
  <c r="C1523" i="45"/>
  <c r="D1522" i="45"/>
  <c r="B1522" i="45"/>
  <c r="A1522" i="45"/>
  <c r="D1521" i="45"/>
  <c r="F1521" i="45" s="1"/>
  <c r="C1521" i="45"/>
  <c r="D1520" i="45"/>
  <c r="F1520" i="45" s="1"/>
  <c r="C1520" i="45"/>
  <c r="D1519" i="45"/>
  <c r="F1519" i="45" s="1"/>
  <c r="C1519" i="45"/>
  <c r="D1518" i="45"/>
  <c r="F1518" i="45" s="1"/>
  <c r="C1518" i="45"/>
  <c r="D1517" i="45"/>
  <c r="F1517" i="45" s="1"/>
  <c r="C1517" i="45"/>
  <c r="D1516" i="45"/>
  <c r="F1516" i="45" s="1"/>
  <c r="C1516" i="45"/>
  <c r="D1515" i="45"/>
  <c r="F1515" i="45" s="1"/>
  <c r="C1515" i="45"/>
  <c r="D1514" i="45"/>
  <c r="F1514" i="45" s="1"/>
  <c r="C1514" i="45"/>
  <c r="D1513" i="45"/>
  <c r="F1513" i="45" s="1"/>
  <c r="C1513" i="45"/>
  <c r="D1512" i="45"/>
  <c r="F1512" i="45" s="1"/>
  <c r="C1512" i="45"/>
  <c r="D1511" i="45"/>
  <c r="F1511" i="45" s="1"/>
  <c r="C1511" i="45"/>
  <c r="D1510" i="45"/>
  <c r="B1510" i="45"/>
  <c r="A1510" i="45"/>
  <c r="D1509" i="45"/>
  <c r="F1509" i="45" s="1"/>
  <c r="C1509" i="45"/>
  <c r="D1508" i="45"/>
  <c r="F1508" i="45" s="1"/>
  <c r="C1508" i="45"/>
  <c r="D1507" i="45"/>
  <c r="F1507" i="45" s="1"/>
  <c r="C1507" i="45"/>
  <c r="D1506" i="45"/>
  <c r="F1506" i="45" s="1"/>
  <c r="C1506" i="45"/>
  <c r="D1505" i="45"/>
  <c r="F1505" i="45" s="1"/>
  <c r="C1505" i="45"/>
  <c r="D1504" i="45"/>
  <c r="F1504" i="45" s="1"/>
  <c r="C1504" i="45"/>
  <c r="D1503" i="45"/>
  <c r="F1503" i="45" s="1"/>
  <c r="C1503" i="45"/>
  <c r="D1502" i="45"/>
  <c r="F1502" i="45" s="1"/>
  <c r="C1502" i="45"/>
  <c r="D1501" i="45"/>
  <c r="F1501" i="45" s="1"/>
  <c r="C1501" i="45"/>
  <c r="D1500" i="45"/>
  <c r="F1500" i="45" s="1"/>
  <c r="C1500" i="45"/>
  <c r="D1499" i="45"/>
  <c r="F1499" i="45" s="1"/>
  <c r="C1499" i="45"/>
  <c r="D1498" i="45"/>
  <c r="B1498" i="45"/>
  <c r="A1498" i="45"/>
  <c r="B1497" i="45"/>
  <c r="A1497" i="45"/>
  <c r="D1496" i="45"/>
  <c r="F1496" i="45" s="1"/>
  <c r="C1496" i="45"/>
  <c r="D1495" i="45"/>
  <c r="F1495" i="45" s="1"/>
  <c r="C1495" i="45"/>
  <c r="D1494" i="45"/>
  <c r="F1494" i="45" s="1"/>
  <c r="C1494" i="45"/>
  <c r="D1493" i="45"/>
  <c r="F1493" i="45" s="1"/>
  <c r="C1493" i="45"/>
  <c r="D1492" i="45"/>
  <c r="F1492" i="45" s="1"/>
  <c r="C1492" i="45"/>
  <c r="D1491" i="45"/>
  <c r="F1491" i="45" s="1"/>
  <c r="C1491" i="45"/>
  <c r="D1490" i="45"/>
  <c r="F1490" i="45" s="1"/>
  <c r="C1490" i="45"/>
  <c r="D1489" i="45"/>
  <c r="F1489" i="45" s="1"/>
  <c r="C1489" i="45"/>
  <c r="D1488" i="45"/>
  <c r="F1488" i="45" s="1"/>
  <c r="C1488" i="45"/>
  <c r="D1487" i="45"/>
  <c r="F1487" i="45" s="1"/>
  <c r="C1487" i="45"/>
  <c r="D1486" i="45"/>
  <c r="F1486" i="45" s="1"/>
  <c r="C1486" i="45"/>
  <c r="D1485" i="45"/>
  <c r="B1485" i="45"/>
  <c r="A1485" i="45"/>
  <c r="B1484" i="45"/>
  <c r="A1484" i="45"/>
  <c r="B1483" i="45"/>
  <c r="A1483" i="45"/>
  <c r="D1482" i="45"/>
  <c r="F1482" i="45" s="1"/>
  <c r="C1482" i="45"/>
  <c r="D1481" i="45"/>
  <c r="F1481" i="45" s="1"/>
  <c r="C1481" i="45"/>
  <c r="D1480" i="45"/>
  <c r="F1480" i="45" s="1"/>
  <c r="C1480" i="45"/>
  <c r="D1479" i="45"/>
  <c r="F1479" i="45" s="1"/>
  <c r="C1479" i="45"/>
  <c r="D1478" i="45"/>
  <c r="F1478" i="45" s="1"/>
  <c r="C1478" i="45"/>
  <c r="D1477" i="45"/>
  <c r="F1477" i="45" s="1"/>
  <c r="C1477" i="45"/>
  <c r="D1476" i="45"/>
  <c r="F1476" i="45" s="1"/>
  <c r="C1476" i="45"/>
  <c r="D1475" i="45"/>
  <c r="F1475" i="45" s="1"/>
  <c r="C1475" i="45"/>
  <c r="D1474" i="45"/>
  <c r="F1474" i="45" s="1"/>
  <c r="C1474" i="45"/>
  <c r="D1473" i="45"/>
  <c r="F1473" i="45" s="1"/>
  <c r="C1473" i="45"/>
  <c r="D1472" i="45"/>
  <c r="F1472" i="45" s="1"/>
  <c r="C1472" i="45"/>
  <c r="D1471" i="45"/>
  <c r="B1471" i="45"/>
  <c r="A1471" i="45"/>
  <c r="D1470" i="45"/>
  <c r="F1470" i="45" s="1"/>
  <c r="C1470" i="45"/>
  <c r="D1469" i="45"/>
  <c r="F1469" i="45" s="1"/>
  <c r="C1469" i="45"/>
  <c r="D1468" i="45"/>
  <c r="F1468" i="45" s="1"/>
  <c r="C1468" i="45"/>
  <c r="D1467" i="45"/>
  <c r="F1467" i="45" s="1"/>
  <c r="C1467" i="45"/>
  <c r="D1466" i="45"/>
  <c r="F1466" i="45" s="1"/>
  <c r="C1466" i="45"/>
  <c r="D1465" i="45"/>
  <c r="F1465" i="45" s="1"/>
  <c r="C1465" i="45"/>
  <c r="D1464" i="45"/>
  <c r="F1464" i="45" s="1"/>
  <c r="C1464" i="45"/>
  <c r="D1463" i="45"/>
  <c r="F1463" i="45" s="1"/>
  <c r="C1463" i="45"/>
  <c r="D1462" i="45"/>
  <c r="F1462" i="45" s="1"/>
  <c r="C1462" i="45"/>
  <c r="D1461" i="45"/>
  <c r="F1461" i="45" s="1"/>
  <c r="C1461" i="45"/>
  <c r="D1460" i="45"/>
  <c r="F1460" i="45" s="1"/>
  <c r="C1460" i="45"/>
  <c r="D1459" i="45"/>
  <c r="B1459" i="45"/>
  <c r="A1459" i="45"/>
  <c r="D1458" i="45"/>
  <c r="F1458" i="45" s="1"/>
  <c r="C1458" i="45"/>
  <c r="D1457" i="45"/>
  <c r="F1457" i="45" s="1"/>
  <c r="C1457" i="45"/>
  <c r="D1456" i="45"/>
  <c r="F1456" i="45" s="1"/>
  <c r="C1456" i="45"/>
  <c r="D1455" i="45"/>
  <c r="F1455" i="45" s="1"/>
  <c r="C1455" i="45"/>
  <c r="D1454" i="45"/>
  <c r="F1454" i="45" s="1"/>
  <c r="C1454" i="45"/>
  <c r="D1453" i="45"/>
  <c r="F1453" i="45" s="1"/>
  <c r="C1453" i="45"/>
  <c r="D1452" i="45"/>
  <c r="F1452" i="45" s="1"/>
  <c r="C1452" i="45"/>
  <c r="D1451" i="45"/>
  <c r="F1451" i="45" s="1"/>
  <c r="C1451" i="45"/>
  <c r="D1450" i="45"/>
  <c r="F1450" i="45" s="1"/>
  <c r="C1450" i="45"/>
  <c r="D1449" i="45"/>
  <c r="F1449" i="45" s="1"/>
  <c r="C1449" i="45"/>
  <c r="D1448" i="45"/>
  <c r="F1448" i="45" s="1"/>
  <c r="C1448" i="45"/>
  <c r="D1447" i="45"/>
  <c r="B1447" i="45"/>
  <c r="A1447" i="45"/>
  <c r="D1446" i="45"/>
  <c r="F1446" i="45" s="1"/>
  <c r="C1446" i="45"/>
  <c r="D1445" i="45"/>
  <c r="F1445" i="45" s="1"/>
  <c r="C1445" i="45"/>
  <c r="D1444" i="45"/>
  <c r="F1444" i="45" s="1"/>
  <c r="C1444" i="45"/>
  <c r="D1443" i="45"/>
  <c r="F1443" i="45" s="1"/>
  <c r="C1443" i="45"/>
  <c r="D1442" i="45"/>
  <c r="F1442" i="45" s="1"/>
  <c r="C1442" i="45"/>
  <c r="D1441" i="45"/>
  <c r="F1441" i="45" s="1"/>
  <c r="C1441" i="45"/>
  <c r="D1440" i="45"/>
  <c r="F1440" i="45" s="1"/>
  <c r="C1440" i="45"/>
  <c r="D1439" i="45"/>
  <c r="F1439" i="45" s="1"/>
  <c r="C1439" i="45"/>
  <c r="D1438" i="45"/>
  <c r="F1438" i="45" s="1"/>
  <c r="C1438" i="45"/>
  <c r="D1437" i="45"/>
  <c r="F1437" i="45" s="1"/>
  <c r="C1437" i="45"/>
  <c r="D1436" i="45"/>
  <c r="F1436" i="45" s="1"/>
  <c r="C1436" i="45"/>
  <c r="D1435" i="45"/>
  <c r="B1435" i="45"/>
  <c r="A1435" i="45"/>
  <c r="D1434" i="45"/>
  <c r="F1434" i="45" s="1"/>
  <c r="C1434" i="45"/>
  <c r="D1433" i="45"/>
  <c r="F1433" i="45" s="1"/>
  <c r="C1433" i="45"/>
  <c r="D1432" i="45"/>
  <c r="F1432" i="45" s="1"/>
  <c r="C1432" i="45"/>
  <c r="D1431" i="45"/>
  <c r="F1431" i="45" s="1"/>
  <c r="C1431" i="45"/>
  <c r="D1430" i="45"/>
  <c r="F1430" i="45" s="1"/>
  <c r="C1430" i="45"/>
  <c r="D1429" i="45"/>
  <c r="F1429" i="45" s="1"/>
  <c r="C1429" i="45"/>
  <c r="D1428" i="45"/>
  <c r="F1428" i="45" s="1"/>
  <c r="C1428" i="45"/>
  <c r="D1427" i="45"/>
  <c r="F1427" i="45" s="1"/>
  <c r="C1427" i="45"/>
  <c r="D1426" i="45"/>
  <c r="F1426" i="45" s="1"/>
  <c r="C1426" i="45"/>
  <c r="D1425" i="45"/>
  <c r="F1425" i="45" s="1"/>
  <c r="C1425" i="45"/>
  <c r="D1424" i="45"/>
  <c r="F1424" i="45" s="1"/>
  <c r="C1424" i="45"/>
  <c r="D1423" i="45"/>
  <c r="B1423" i="45"/>
  <c r="A1423" i="45"/>
  <c r="D1422" i="45"/>
  <c r="F1422" i="45" s="1"/>
  <c r="C1422" i="45"/>
  <c r="D1421" i="45"/>
  <c r="F1421" i="45" s="1"/>
  <c r="C1421" i="45"/>
  <c r="D1420" i="45"/>
  <c r="F1420" i="45" s="1"/>
  <c r="C1420" i="45"/>
  <c r="D1419" i="45"/>
  <c r="F1419" i="45" s="1"/>
  <c r="C1419" i="45"/>
  <c r="D1418" i="45"/>
  <c r="F1418" i="45" s="1"/>
  <c r="C1418" i="45"/>
  <c r="D1417" i="45"/>
  <c r="F1417" i="45" s="1"/>
  <c r="C1417" i="45"/>
  <c r="D1416" i="45"/>
  <c r="F1416" i="45" s="1"/>
  <c r="C1416" i="45"/>
  <c r="D1415" i="45"/>
  <c r="F1415" i="45" s="1"/>
  <c r="C1415" i="45"/>
  <c r="D1414" i="45"/>
  <c r="F1414" i="45" s="1"/>
  <c r="C1414" i="45"/>
  <c r="D1413" i="45"/>
  <c r="F1413" i="45" s="1"/>
  <c r="C1413" i="45"/>
  <c r="D1412" i="45"/>
  <c r="F1412" i="45" s="1"/>
  <c r="C1412" i="45"/>
  <c r="D1411" i="45"/>
  <c r="B1411" i="45"/>
  <c r="A1411" i="45"/>
  <c r="B1410" i="45"/>
  <c r="A1410" i="45"/>
  <c r="D1409" i="45"/>
  <c r="F1409" i="45" s="1"/>
  <c r="C1409" i="45"/>
  <c r="D1408" i="45"/>
  <c r="F1408" i="45" s="1"/>
  <c r="C1408" i="45"/>
  <c r="D1407" i="45"/>
  <c r="F1407" i="45" s="1"/>
  <c r="C1407" i="45"/>
  <c r="D1406" i="45"/>
  <c r="F1406" i="45" s="1"/>
  <c r="C1406" i="45"/>
  <c r="D1405" i="45"/>
  <c r="F1405" i="45" s="1"/>
  <c r="C1405" i="45"/>
  <c r="D1404" i="45"/>
  <c r="F1404" i="45" s="1"/>
  <c r="C1404" i="45"/>
  <c r="D1403" i="45"/>
  <c r="F1403" i="45" s="1"/>
  <c r="C1403" i="45"/>
  <c r="D1402" i="45"/>
  <c r="F1402" i="45" s="1"/>
  <c r="C1402" i="45"/>
  <c r="D1401" i="45"/>
  <c r="F1401" i="45" s="1"/>
  <c r="C1401" i="45"/>
  <c r="D1400" i="45"/>
  <c r="F1400" i="45" s="1"/>
  <c r="C1400" i="45"/>
  <c r="D1399" i="45"/>
  <c r="F1399" i="45" s="1"/>
  <c r="C1399" i="45"/>
  <c r="D1398" i="45"/>
  <c r="B1398" i="45"/>
  <c r="A1398" i="45"/>
  <c r="B1397" i="45"/>
  <c r="A1397" i="45"/>
  <c r="B1396" i="45"/>
  <c r="A1396" i="45"/>
  <c r="B1395" i="45"/>
  <c r="A1395" i="45"/>
  <c r="B1394" i="45"/>
  <c r="A1394" i="45"/>
  <c r="D1393" i="45"/>
  <c r="F1393" i="45" s="1"/>
  <c r="C1393" i="45"/>
  <c r="D1392" i="45"/>
  <c r="F1392" i="45" s="1"/>
  <c r="C1392" i="45"/>
  <c r="D1391" i="45"/>
  <c r="F1391" i="45" s="1"/>
  <c r="C1391" i="45"/>
  <c r="D1390" i="45"/>
  <c r="F1390" i="45" s="1"/>
  <c r="C1390" i="45"/>
  <c r="D1389" i="45"/>
  <c r="F1389" i="45" s="1"/>
  <c r="C1389" i="45"/>
  <c r="D1388" i="45"/>
  <c r="F1388" i="45" s="1"/>
  <c r="C1388" i="45"/>
  <c r="D1387" i="45"/>
  <c r="F1387" i="45" s="1"/>
  <c r="C1387" i="45"/>
  <c r="D1386" i="45"/>
  <c r="F1386" i="45" s="1"/>
  <c r="C1386" i="45"/>
  <c r="D1385" i="45"/>
  <c r="F1385" i="45" s="1"/>
  <c r="C1385" i="45"/>
  <c r="D1384" i="45"/>
  <c r="F1384" i="45" s="1"/>
  <c r="C1384" i="45"/>
  <c r="D1383" i="45"/>
  <c r="F1383" i="45" s="1"/>
  <c r="C1383" i="45"/>
  <c r="D1382" i="45"/>
  <c r="B1382" i="45"/>
  <c r="A1382" i="45"/>
  <c r="D1381" i="45"/>
  <c r="F1381" i="45" s="1"/>
  <c r="C1381" i="45"/>
  <c r="D1380" i="45"/>
  <c r="F1380" i="45" s="1"/>
  <c r="C1380" i="45"/>
  <c r="D1379" i="45"/>
  <c r="F1379" i="45" s="1"/>
  <c r="C1379" i="45"/>
  <c r="D1378" i="45"/>
  <c r="F1378" i="45" s="1"/>
  <c r="C1378" i="45"/>
  <c r="D1377" i="45"/>
  <c r="F1377" i="45" s="1"/>
  <c r="C1377" i="45"/>
  <c r="D1376" i="45"/>
  <c r="F1376" i="45" s="1"/>
  <c r="C1376" i="45"/>
  <c r="D1375" i="45"/>
  <c r="F1375" i="45" s="1"/>
  <c r="C1375" i="45"/>
  <c r="D1374" i="45"/>
  <c r="F1374" i="45" s="1"/>
  <c r="C1374" i="45"/>
  <c r="D1373" i="45"/>
  <c r="F1373" i="45" s="1"/>
  <c r="C1373" i="45"/>
  <c r="D1372" i="45"/>
  <c r="F1372" i="45" s="1"/>
  <c r="C1372" i="45"/>
  <c r="D1371" i="45"/>
  <c r="F1371" i="45" s="1"/>
  <c r="C1371" i="45"/>
  <c r="D1370" i="45"/>
  <c r="B1370" i="45"/>
  <c r="A1370" i="45"/>
  <c r="B1369" i="45"/>
  <c r="A1369" i="45"/>
  <c r="D1368" i="45"/>
  <c r="F1368" i="45" s="1"/>
  <c r="C1368" i="45"/>
  <c r="D1367" i="45"/>
  <c r="F1367" i="45" s="1"/>
  <c r="C1367" i="45"/>
  <c r="D1366" i="45"/>
  <c r="F1366" i="45" s="1"/>
  <c r="C1366" i="45"/>
  <c r="D1365" i="45"/>
  <c r="F1365" i="45" s="1"/>
  <c r="C1365" i="45"/>
  <c r="D1364" i="45"/>
  <c r="F1364" i="45" s="1"/>
  <c r="C1364" i="45"/>
  <c r="D1363" i="45"/>
  <c r="F1363" i="45" s="1"/>
  <c r="C1363" i="45"/>
  <c r="D1362" i="45"/>
  <c r="F1362" i="45" s="1"/>
  <c r="C1362" i="45"/>
  <c r="D1361" i="45"/>
  <c r="F1361" i="45" s="1"/>
  <c r="C1361" i="45"/>
  <c r="D1360" i="45"/>
  <c r="F1360" i="45" s="1"/>
  <c r="C1360" i="45"/>
  <c r="D1359" i="45"/>
  <c r="F1359" i="45" s="1"/>
  <c r="C1359" i="45"/>
  <c r="D1358" i="45"/>
  <c r="F1358" i="45" s="1"/>
  <c r="C1358" i="45"/>
  <c r="D1357" i="45"/>
  <c r="B1357" i="45"/>
  <c r="A1357" i="45"/>
  <c r="D1356" i="45"/>
  <c r="F1356" i="45" s="1"/>
  <c r="C1356" i="45"/>
  <c r="D1355" i="45"/>
  <c r="F1355" i="45" s="1"/>
  <c r="C1355" i="45"/>
  <c r="D1354" i="45"/>
  <c r="F1354" i="45" s="1"/>
  <c r="C1354" i="45"/>
  <c r="D1353" i="45"/>
  <c r="F1353" i="45" s="1"/>
  <c r="C1353" i="45"/>
  <c r="D1352" i="45"/>
  <c r="F1352" i="45" s="1"/>
  <c r="C1352" i="45"/>
  <c r="D1351" i="45"/>
  <c r="F1351" i="45" s="1"/>
  <c r="C1351" i="45"/>
  <c r="D1350" i="45"/>
  <c r="F1350" i="45" s="1"/>
  <c r="C1350" i="45"/>
  <c r="D1349" i="45"/>
  <c r="F1349" i="45" s="1"/>
  <c r="C1349" i="45"/>
  <c r="D1348" i="45"/>
  <c r="F1348" i="45" s="1"/>
  <c r="C1348" i="45"/>
  <c r="D1347" i="45"/>
  <c r="F1347" i="45" s="1"/>
  <c r="C1347" i="45"/>
  <c r="D1346" i="45"/>
  <c r="F1346" i="45" s="1"/>
  <c r="C1346" i="45"/>
  <c r="D1345" i="45"/>
  <c r="B1345" i="45"/>
  <c r="A1345" i="45"/>
  <c r="B1344" i="45"/>
  <c r="A1344" i="45"/>
  <c r="B1343" i="45"/>
  <c r="A1343" i="45"/>
  <c r="B1342" i="45"/>
  <c r="A1342" i="45"/>
  <c r="B1341" i="45"/>
  <c r="A1341" i="45"/>
  <c r="B1340" i="45"/>
  <c r="A1340" i="45"/>
  <c r="B1339" i="45"/>
  <c r="A1339" i="45"/>
  <c r="B1338" i="45"/>
  <c r="A1338" i="45"/>
  <c r="D1337" i="45"/>
  <c r="F1337" i="45" s="1"/>
  <c r="C1337" i="45"/>
  <c r="D1336" i="45"/>
  <c r="F1336" i="45" s="1"/>
  <c r="C1336" i="45"/>
  <c r="D1335" i="45"/>
  <c r="F1335" i="45" s="1"/>
  <c r="C1335" i="45"/>
  <c r="D1334" i="45"/>
  <c r="F1334" i="45" s="1"/>
  <c r="C1334" i="45"/>
  <c r="D1333" i="45"/>
  <c r="F1333" i="45" s="1"/>
  <c r="C1333" i="45"/>
  <c r="D1332" i="45"/>
  <c r="F1332" i="45" s="1"/>
  <c r="C1332" i="45"/>
  <c r="D1331" i="45"/>
  <c r="F1331" i="45" s="1"/>
  <c r="C1331" i="45"/>
  <c r="D1330" i="45"/>
  <c r="F1330" i="45" s="1"/>
  <c r="C1330" i="45"/>
  <c r="D1329" i="45"/>
  <c r="F1329" i="45" s="1"/>
  <c r="C1329" i="45"/>
  <c r="D1328" i="45"/>
  <c r="F1328" i="45" s="1"/>
  <c r="C1328" i="45"/>
  <c r="D1327" i="45"/>
  <c r="F1327" i="45" s="1"/>
  <c r="C1327" i="45"/>
  <c r="D1326" i="45"/>
  <c r="B1326" i="45"/>
  <c r="A1326" i="45"/>
  <c r="B1325" i="45"/>
  <c r="A1325" i="45"/>
  <c r="D1324" i="45"/>
  <c r="F1324" i="45" s="1"/>
  <c r="C1324" i="45"/>
  <c r="D1323" i="45"/>
  <c r="F1323" i="45" s="1"/>
  <c r="C1323" i="45"/>
  <c r="D1322" i="45"/>
  <c r="F1322" i="45" s="1"/>
  <c r="C1322" i="45"/>
  <c r="D1321" i="45"/>
  <c r="F1321" i="45" s="1"/>
  <c r="C1321" i="45"/>
  <c r="D1320" i="45"/>
  <c r="F1320" i="45" s="1"/>
  <c r="C1320" i="45"/>
  <c r="D1319" i="45"/>
  <c r="F1319" i="45" s="1"/>
  <c r="C1319" i="45"/>
  <c r="D1318" i="45"/>
  <c r="F1318" i="45" s="1"/>
  <c r="C1318" i="45"/>
  <c r="D1317" i="45"/>
  <c r="F1317" i="45" s="1"/>
  <c r="C1317" i="45"/>
  <c r="D1316" i="45"/>
  <c r="F1316" i="45" s="1"/>
  <c r="C1316" i="45"/>
  <c r="D1315" i="45"/>
  <c r="F1315" i="45" s="1"/>
  <c r="C1315" i="45"/>
  <c r="D1314" i="45"/>
  <c r="F1314" i="45" s="1"/>
  <c r="C1314" i="45"/>
  <c r="D1313" i="45"/>
  <c r="B1313" i="45"/>
  <c r="A1313" i="45"/>
  <c r="D1312" i="45"/>
  <c r="F1312" i="45" s="1"/>
  <c r="C1312" i="45"/>
  <c r="D1311" i="45"/>
  <c r="F1311" i="45" s="1"/>
  <c r="C1311" i="45"/>
  <c r="D1310" i="45"/>
  <c r="F1310" i="45" s="1"/>
  <c r="C1310" i="45"/>
  <c r="D1309" i="45"/>
  <c r="F1309" i="45" s="1"/>
  <c r="C1309" i="45"/>
  <c r="D1308" i="45"/>
  <c r="F1308" i="45" s="1"/>
  <c r="C1308" i="45"/>
  <c r="D1307" i="45"/>
  <c r="F1307" i="45" s="1"/>
  <c r="C1307" i="45"/>
  <c r="D1306" i="45"/>
  <c r="F1306" i="45" s="1"/>
  <c r="C1306" i="45"/>
  <c r="D1305" i="45"/>
  <c r="F1305" i="45" s="1"/>
  <c r="C1305" i="45"/>
  <c r="D1304" i="45"/>
  <c r="F1304" i="45" s="1"/>
  <c r="C1304" i="45"/>
  <c r="D1303" i="45"/>
  <c r="F1303" i="45" s="1"/>
  <c r="C1303" i="45"/>
  <c r="D1302" i="45"/>
  <c r="F1302" i="45" s="1"/>
  <c r="C1302" i="45"/>
  <c r="D1301" i="45"/>
  <c r="B1301" i="45"/>
  <c r="A1301" i="45"/>
  <c r="B1300" i="45"/>
  <c r="A1300" i="45"/>
  <c r="B1299" i="45"/>
  <c r="A1299" i="45"/>
  <c r="B1298" i="45"/>
  <c r="A1298" i="45"/>
  <c r="D1297" i="45"/>
  <c r="F1297" i="45" s="1"/>
  <c r="C1297" i="45"/>
  <c r="D1296" i="45"/>
  <c r="F1296" i="45" s="1"/>
  <c r="C1296" i="45"/>
  <c r="D1295" i="45"/>
  <c r="F1295" i="45" s="1"/>
  <c r="C1295" i="45"/>
  <c r="D1294" i="45"/>
  <c r="F1294" i="45" s="1"/>
  <c r="C1294" i="45"/>
  <c r="D1293" i="45"/>
  <c r="F1293" i="45" s="1"/>
  <c r="C1293" i="45"/>
  <c r="D1292" i="45"/>
  <c r="F1292" i="45" s="1"/>
  <c r="C1292" i="45"/>
  <c r="D1291" i="45"/>
  <c r="F1291" i="45" s="1"/>
  <c r="C1291" i="45"/>
  <c r="D1290" i="45"/>
  <c r="F1290" i="45" s="1"/>
  <c r="C1290" i="45"/>
  <c r="D1289" i="45"/>
  <c r="F1289" i="45" s="1"/>
  <c r="C1289" i="45"/>
  <c r="D1288" i="45"/>
  <c r="F1288" i="45" s="1"/>
  <c r="C1288" i="45"/>
  <c r="D1287" i="45"/>
  <c r="F1287" i="45" s="1"/>
  <c r="C1287" i="45"/>
  <c r="D1286" i="45"/>
  <c r="B1286" i="45"/>
  <c r="A1286" i="45"/>
  <c r="D1285" i="45"/>
  <c r="F1285" i="45" s="1"/>
  <c r="C1285" i="45"/>
  <c r="D1284" i="45"/>
  <c r="F1284" i="45" s="1"/>
  <c r="C1284" i="45"/>
  <c r="D1283" i="45"/>
  <c r="F1283" i="45" s="1"/>
  <c r="C1283" i="45"/>
  <c r="D1282" i="45"/>
  <c r="F1282" i="45" s="1"/>
  <c r="C1282" i="45"/>
  <c r="D1281" i="45"/>
  <c r="F1281" i="45" s="1"/>
  <c r="C1281" i="45"/>
  <c r="D1280" i="45"/>
  <c r="F1280" i="45" s="1"/>
  <c r="C1280" i="45"/>
  <c r="D1279" i="45"/>
  <c r="F1279" i="45" s="1"/>
  <c r="C1279" i="45"/>
  <c r="D1278" i="45"/>
  <c r="F1278" i="45" s="1"/>
  <c r="C1278" i="45"/>
  <c r="D1277" i="45"/>
  <c r="F1277" i="45" s="1"/>
  <c r="C1277" i="45"/>
  <c r="D1276" i="45"/>
  <c r="F1276" i="45" s="1"/>
  <c r="C1276" i="45"/>
  <c r="D1275" i="45"/>
  <c r="F1275" i="45" s="1"/>
  <c r="C1275" i="45"/>
  <c r="D1274" i="45"/>
  <c r="B1274" i="45"/>
  <c r="A1274" i="45"/>
  <c r="B1273" i="45"/>
  <c r="A1273" i="45"/>
  <c r="B1272" i="45"/>
  <c r="A1272" i="45"/>
  <c r="B1271" i="45"/>
  <c r="A1271" i="45"/>
  <c r="D1270" i="45"/>
  <c r="F1270" i="45" s="1"/>
  <c r="C1270" i="45"/>
  <c r="D1269" i="45"/>
  <c r="F1269" i="45" s="1"/>
  <c r="C1269" i="45"/>
  <c r="D1268" i="45"/>
  <c r="F1268" i="45" s="1"/>
  <c r="C1268" i="45"/>
  <c r="D1267" i="45"/>
  <c r="F1267" i="45" s="1"/>
  <c r="C1267" i="45"/>
  <c r="D1266" i="45"/>
  <c r="F1266" i="45" s="1"/>
  <c r="C1266" i="45"/>
  <c r="D1265" i="45"/>
  <c r="F1265" i="45" s="1"/>
  <c r="C1265" i="45"/>
  <c r="D1264" i="45"/>
  <c r="F1264" i="45" s="1"/>
  <c r="C1264" i="45"/>
  <c r="D1263" i="45"/>
  <c r="F1263" i="45" s="1"/>
  <c r="C1263" i="45"/>
  <c r="D1262" i="45"/>
  <c r="F1262" i="45" s="1"/>
  <c r="C1262" i="45"/>
  <c r="D1261" i="45"/>
  <c r="F1261" i="45" s="1"/>
  <c r="C1261" i="45"/>
  <c r="D1260" i="45"/>
  <c r="F1260" i="45" s="1"/>
  <c r="C1260" i="45"/>
  <c r="D1259" i="45"/>
  <c r="B1259" i="45"/>
  <c r="A1259" i="45"/>
  <c r="D1229" i="45"/>
  <c r="F1229" i="45" s="1"/>
  <c r="D1230" i="45"/>
  <c r="F1230" i="45" s="1"/>
  <c r="D1231" i="45"/>
  <c r="F1231" i="45" s="1"/>
  <c r="D1232" i="45"/>
  <c r="F1232" i="45" s="1"/>
  <c r="D1233" i="45"/>
  <c r="F1233" i="45" s="1"/>
  <c r="D1234" i="45"/>
  <c r="F1234" i="45" s="1"/>
  <c r="D1235" i="45"/>
  <c r="F1235" i="45" s="1"/>
  <c r="D1236" i="45"/>
  <c r="F1236" i="45" s="1"/>
  <c r="D1237" i="45"/>
  <c r="F1237" i="45" s="1"/>
  <c r="D1238" i="45"/>
  <c r="F1238" i="45" s="1"/>
  <c r="D1239" i="45"/>
  <c r="F1239" i="45" s="1"/>
  <c r="D1228" i="45"/>
  <c r="B1258" i="45"/>
  <c r="A1258" i="45"/>
  <c r="D1205" i="45"/>
  <c r="F1205" i="45" s="1"/>
  <c r="D1206" i="45"/>
  <c r="F1206" i="45" s="1"/>
  <c r="D1207" i="45"/>
  <c r="F1207" i="45" s="1"/>
  <c r="D1208" i="45"/>
  <c r="F1208" i="45" s="1"/>
  <c r="D1209" i="45"/>
  <c r="F1209" i="45" s="1"/>
  <c r="D1210" i="45"/>
  <c r="F1210" i="45" s="1"/>
  <c r="D1211" i="45"/>
  <c r="F1211" i="45" s="1"/>
  <c r="D1212" i="45"/>
  <c r="F1212" i="45" s="1"/>
  <c r="D1213" i="45"/>
  <c r="F1213" i="45" s="1"/>
  <c r="D1214" i="45"/>
  <c r="F1214" i="45" s="1"/>
  <c r="D1215" i="45"/>
  <c r="F1215" i="45" s="1"/>
  <c r="D1204" i="45"/>
  <c r="B1257" i="45"/>
  <c r="A1257" i="45"/>
  <c r="B1256" i="45"/>
  <c r="A1256" i="45"/>
  <c r="B1255" i="45"/>
  <c r="A1255" i="45"/>
  <c r="D1217" i="45"/>
  <c r="F1217" i="45" s="1"/>
  <c r="D1218" i="45"/>
  <c r="F1218" i="45" s="1"/>
  <c r="D1219" i="45"/>
  <c r="F1219" i="45" s="1"/>
  <c r="D1220" i="45"/>
  <c r="F1220" i="45" s="1"/>
  <c r="D1221" i="45"/>
  <c r="F1221" i="45" s="1"/>
  <c r="D1222" i="45"/>
  <c r="F1222" i="45" s="1"/>
  <c r="D1223" i="45"/>
  <c r="F1223" i="45" s="1"/>
  <c r="D1224" i="45"/>
  <c r="F1224" i="45" s="1"/>
  <c r="D1225" i="45"/>
  <c r="F1225" i="45" s="1"/>
  <c r="D1226" i="45"/>
  <c r="F1226" i="45" s="1"/>
  <c r="D1227" i="45"/>
  <c r="F1227" i="45" s="1"/>
  <c r="D1216" i="45"/>
  <c r="B1254" i="45"/>
  <c r="A1254" i="45"/>
  <c r="D1180" i="45"/>
  <c r="F1180" i="45" s="1"/>
  <c r="D1181" i="45"/>
  <c r="F1181" i="45" s="1"/>
  <c r="D1182" i="45"/>
  <c r="F1182" i="45" s="1"/>
  <c r="D1183" i="45"/>
  <c r="F1183" i="45" s="1"/>
  <c r="D1184" i="45"/>
  <c r="F1184" i="45" s="1"/>
  <c r="D1185" i="45"/>
  <c r="F1185" i="45" s="1"/>
  <c r="D1186" i="45"/>
  <c r="F1186" i="45" s="1"/>
  <c r="D1187" i="45"/>
  <c r="F1187" i="45" s="1"/>
  <c r="D1188" i="45"/>
  <c r="F1188" i="45" s="1"/>
  <c r="D1189" i="45"/>
  <c r="F1189" i="45" s="1"/>
  <c r="D1190" i="45"/>
  <c r="F1190" i="45" s="1"/>
  <c r="D1179" i="45"/>
  <c r="B1253" i="45"/>
  <c r="A1253" i="45"/>
  <c r="D1168" i="45"/>
  <c r="F1168" i="45" s="1"/>
  <c r="D1169" i="45"/>
  <c r="F1169" i="45" s="1"/>
  <c r="D1170" i="45"/>
  <c r="F1170" i="45" s="1"/>
  <c r="D1171" i="45"/>
  <c r="F1171" i="45" s="1"/>
  <c r="D1172" i="45"/>
  <c r="F1172" i="45" s="1"/>
  <c r="D1173" i="45"/>
  <c r="F1173" i="45" s="1"/>
  <c r="D1174" i="45"/>
  <c r="F1174" i="45" s="1"/>
  <c r="D1175" i="45"/>
  <c r="F1175" i="45" s="1"/>
  <c r="D1176" i="45"/>
  <c r="F1176" i="45" s="1"/>
  <c r="D1177" i="45"/>
  <c r="F1177" i="45" s="1"/>
  <c r="D1178" i="45"/>
  <c r="F1178" i="45" s="1"/>
  <c r="D1167" i="45"/>
  <c r="B1252" i="45"/>
  <c r="A1252" i="45"/>
  <c r="B1251" i="45"/>
  <c r="A1251" i="45"/>
  <c r="B1250" i="45"/>
  <c r="A1250" i="45"/>
  <c r="B1249" i="45"/>
  <c r="A1249" i="45"/>
  <c r="B1248" i="45"/>
  <c r="A1248" i="45"/>
  <c r="B1247" i="45"/>
  <c r="A1247" i="45"/>
  <c r="B1246" i="45"/>
  <c r="A1246" i="45"/>
  <c r="B1245" i="45"/>
  <c r="A1245" i="45"/>
  <c r="B1244" i="45"/>
  <c r="A1244" i="45"/>
  <c r="B1243" i="45"/>
  <c r="A1243" i="45"/>
  <c r="B1242" i="45"/>
  <c r="A1242" i="45"/>
  <c r="B1241" i="45"/>
  <c r="A1241" i="45"/>
  <c r="B1240" i="45"/>
  <c r="A1240" i="45"/>
  <c r="C1239" i="45"/>
  <c r="C1238" i="45"/>
  <c r="C1237" i="45"/>
  <c r="C1236" i="45"/>
  <c r="C1235" i="45"/>
  <c r="C1234" i="45"/>
  <c r="C1233" i="45"/>
  <c r="C1232" i="45"/>
  <c r="C1231" i="45"/>
  <c r="C1230" i="45"/>
  <c r="C1229" i="45"/>
  <c r="B1228" i="45"/>
  <c r="A1228" i="45"/>
  <c r="C1227" i="45"/>
  <c r="C1226" i="45"/>
  <c r="C1225" i="45"/>
  <c r="C1224" i="45"/>
  <c r="C1223" i="45"/>
  <c r="C1222" i="45"/>
  <c r="C1221" i="45"/>
  <c r="C1220" i="45"/>
  <c r="C1219" i="45"/>
  <c r="C1218" i="45"/>
  <c r="C1217" i="45"/>
  <c r="B1216" i="45"/>
  <c r="A1216" i="45"/>
  <c r="C1215" i="45"/>
  <c r="C1214" i="45"/>
  <c r="C1213" i="45"/>
  <c r="C1212" i="45"/>
  <c r="C1211" i="45"/>
  <c r="C1210" i="45"/>
  <c r="C1209" i="45"/>
  <c r="C1208" i="45"/>
  <c r="C1207" i="45"/>
  <c r="C1206" i="45"/>
  <c r="C1205" i="45"/>
  <c r="B1204" i="45"/>
  <c r="A1204" i="45"/>
  <c r="D1203" i="45"/>
  <c r="F1203" i="45" s="1"/>
  <c r="C1203" i="45"/>
  <c r="D1202" i="45"/>
  <c r="F1202" i="45" s="1"/>
  <c r="C1202" i="45"/>
  <c r="D1201" i="45"/>
  <c r="F1201" i="45" s="1"/>
  <c r="C1201" i="45"/>
  <c r="D1200" i="45"/>
  <c r="F1200" i="45" s="1"/>
  <c r="C1200" i="45"/>
  <c r="D1199" i="45"/>
  <c r="F1199" i="45" s="1"/>
  <c r="C1199" i="45"/>
  <c r="D1198" i="45"/>
  <c r="F1198" i="45" s="1"/>
  <c r="C1198" i="45"/>
  <c r="D1197" i="45"/>
  <c r="F1197" i="45" s="1"/>
  <c r="C1197" i="45"/>
  <c r="D1196" i="45"/>
  <c r="F1196" i="45" s="1"/>
  <c r="C1196" i="45"/>
  <c r="D1195" i="45"/>
  <c r="F1195" i="45" s="1"/>
  <c r="C1195" i="45"/>
  <c r="D1194" i="45"/>
  <c r="F1194" i="45" s="1"/>
  <c r="C1194" i="45"/>
  <c r="D1193" i="45"/>
  <c r="F1193" i="45" s="1"/>
  <c r="C1193" i="45"/>
  <c r="D1192" i="45"/>
  <c r="B1192" i="45"/>
  <c r="A1192" i="45"/>
  <c r="B1191" i="45"/>
  <c r="A1191" i="45"/>
  <c r="C1190" i="45"/>
  <c r="C1189" i="45"/>
  <c r="C1188" i="45"/>
  <c r="C1187" i="45"/>
  <c r="C1186" i="45"/>
  <c r="C1185" i="45"/>
  <c r="C1184" i="45"/>
  <c r="C1183" i="45"/>
  <c r="C1182" i="45"/>
  <c r="C1181" i="45"/>
  <c r="C1180" i="45"/>
  <c r="B1179" i="45"/>
  <c r="A1179" i="45"/>
  <c r="C1178" i="45"/>
  <c r="C1177" i="45"/>
  <c r="C1176" i="45"/>
  <c r="C1175" i="45"/>
  <c r="C1174" i="45"/>
  <c r="C1173" i="45"/>
  <c r="C1172" i="45"/>
  <c r="C1171" i="45"/>
  <c r="C1170" i="45"/>
  <c r="C1169" i="45"/>
  <c r="C1168" i="45"/>
  <c r="B1167" i="45"/>
  <c r="A1167" i="45"/>
  <c r="B1166" i="45"/>
  <c r="A1166" i="45"/>
  <c r="B1165" i="45"/>
  <c r="A1165" i="45"/>
  <c r="B1164" i="45"/>
  <c r="A1164" i="45"/>
  <c r="D1163" i="45"/>
  <c r="F1163" i="45" s="1"/>
  <c r="C1163" i="45"/>
  <c r="D1162" i="45"/>
  <c r="F1162" i="45" s="1"/>
  <c r="C1162" i="45"/>
  <c r="D1161" i="45"/>
  <c r="F1161" i="45" s="1"/>
  <c r="C1161" i="45"/>
  <c r="D1160" i="45"/>
  <c r="F1160" i="45" s="1"/>
  <c r="C1160" i="45"/>
  <c r="D1159" i="45"/>
  <c r="F1159" i="45" s="1"/>
  <c r="C1159" i="45"/>
  <c r="D1158" i="45"/>
  <c r="F1158" i="45" s="1"/>
  <c r="C1158" i="45"/>
  <c r="D1157" i="45"/>
  <c r="F1157" i="45" s="1"/>
  <c r="C1157" i="45"/>
  <c r="D1156" i="45"/>
  <c r="F1156" i="45" s="1"/>
  <c r="C1156" i="45"/>
  <c r="D1155" i="45"/>
  <c r="F1155" i="45" s="1"/>
  <c r="C1155" i="45"/>
  <c r="D1154" i="45"/>
  <c r="F1154" i="45" s="1"/>
  <c r="C1154" i="45"/>
  <c r="D1153" i="45"/>
  <c r="F1153" i="45" s="1"/>
  <c r="C1153" i="45"/>
  <c r="D1152" i="45"/>
  <c r="B1152" i="45"/>
  <c r="A1152" i="45"/>
  <c r="D1151" i="45"/>
  <c r="F1151" i="45" s="1"/>
  <c r="C1151" i="45"/>
  <c r="D1150" i="45"/>
  <c r="F1150" i="45" s="1"/>
  <c r="C1150" i="45"/>
  <c r="D1149" i="45"/>
  <c r="F1149" i="45" s="1"/>
  <c r="C1149" i="45"/>
  <c r="D1148" i="45"/>
  <c r="F1148" i="45" s="1"/>
  <c r="C1148" i="45"/>
  <c r="D1147" i="45"/>
  <c r="F1147" i="45" s="1"/>
  <c r="C1147" i="45"/>
  <c r="D1146" i="45"/>
  <c r="F1146" i="45" s="1"/>
  <c r="C1146" i="45"/>
  <c r="D1145" i="45"/>
  <c r="F1145" i="45" s="1"/>
  <c r="C1145" i="45"/>
  <c r="D1144" i="45"/>
  <c r="F1144" i="45" s="1"/>
  <c r="C1144" i="45"/>
  <c r="D1143" i="45"/>
  <c r="F1143" i="45" s="1"/>
  <c r="C1143" i="45"/>
  <c r="D1142" i="45"/>
  <c r="F1142" i="45" s="1"/>
  <c r="C1142" i="45"/>
  <c r="D1141" i="45"/>
  <c r="F1141" i="45" s="1"/>
  <c r="C1141" i="45"/>
  <c r="D1140" i="45"/>
  <c r="B1140" i="45"/>
  <c r="A1140" i="45"/>
  <c r="B1139" i="45"/>
  <c r="A1139" i="45"/>
  <c r="D1138" i="45"/>
  <c r="F1138" i="45" s="1"/>
  <c r="C1138" i="45"/>
  <c r="D1137" i="45"/>
  <c r="F1137" i="45" s="1"/>
  <c r="C1137" i="45"/>
  <c r="D1136" i="45"/>
  <c r="F1136" i="45" s="1"/>
  <c r="C1136" i="45"/>
  <c r="D1135" i="45"/>
  <c r="F1135" i="45" s="1"/>
  <c r="C1135" i="45"/>
  <c r="D1134" i="45"/>
  <c r="F1134" i="45" s="1"/>
  <c r="C1134" i="45"/>
  <c r="D1133" i="45"/>
  <c r="F1133" i="45" s="1"/>
  <c r="C1133" i="45"/>
  <c r="D1132" i="45"/>
  <c r="F1132" i="45" s="1"/>
  <c r="C1132" i="45"/>
  <c r="D1131" i="45"/>
  <c r="F1131" i="45" s="1"/>
  <c r="C1131" i="45"/>
  <c r="D1130" i="45"/>
  <c r="F1130" i="45" s="1"/>
  <c r="C1130" i="45"/>
  <c r="D1129" i="45"/>
  <c r="F1129" i="45" s="1"/>
  <c r="C1129" i="45"/>
  <c r="D1128" i="45"/>
  <c r="F1128" i="45" s="1"/>
  <c r="C1128" i="45"/>
  <c r="D1127" i="45"/>
  <c r="D1126" i="45"/>
  <c r="F1126" i="45" s="1"/>
  <c r="C1126" i="45"/>
  <c r="D1125" i="45"/>
  <c r="F1125" i="45" s="1"/>
  <c r="C1125" i="45"/>
  <c r="D1124" i="45"/>
  <c r="F1124" i="45" s="1"/>
  <c r="C1124" i="45"/>
  <c r="D1123" i="45"/>
  <c r="F1123" i="45" s="1"/>
  <c r="C1123" i="45"/>
  <c r="D1122" i="45"/>
  <c r="F1122" i="45" s="1"/>
  <c r="C1122" i="45"/>
  <c r="D1121" i="45"/>
  <c r="F1121" i="45" s="1"/>
  <c r="C1121" i="45"/>
  <c r="D1120" i="45"/>
  <c r="F1120" i="45" s="1"/>
  <c r="C1120" i="45"/>
  <c r="D1119" i="45"/>
  <c r="F1119" i="45" s="1"/>
  <c r="C1119" i="45"/>
  <c r="D1118" i="45"/>
  <c r="F1118" i="45" s="1"/>
  <c r="C1118" i="45"/>
  <c r="D1117" i="45"/>
  <c r="F1117" i="45" s="1"/>
  <c r="C1117" i="45"/>
  <c r="D1116" i="45"/>
  <c r="F1116" i="45" s="1"/>
  <c r="C1116" i="45"/>
  <c r="D1115" i="45"/>
  <c r="B1114" i="45"/>
  <c r="A1114" i="45"/>
  <c r="D1113" i="45"/>
  <c r="F1113" i="45" s="1"/>
  <c r="C1113" i="45"/>
  <c r="D1112" i="45"/>
  <c r="F1112" i="45" s="1"/>
  <c r="C1112" i="45"/>
  <c r="D1111" i="45"/>
  <c r="F1111" i="45" s="1"/>
  <c r="C1111" i="45"/>
  <c r="D1110" i="45"/>
  <c r="F1110" i="45" s="1"/>
  <c r="C1110" i="45"/>
  <c r="D1109" i="45"/>
  <c r="F1109" i="45" s="1"/>
  <c r="C1109" i="45"/>
  <c r="D1108" i="45"/>
  <c r="F1108" i="45" s="1"/>
  <c r="C1108" i="45"/>
  <c r="D1107" i="45"/>
  <c r="F1107" i="45" s="1"/>
  <c r="C1107" i="45"/>
  <c r="D1106" i="45"/>
  <c r="F1106" i="45" s="1"/>
  <c r="C1106" i="45"/>
  <c r="D1105" i="45"/>
  <c r="F1105" i="45" s="1"/>
  <c r="C1105" i="45"/>
  <c r="D1104" i="45"/>
  <c r="F1104" i="45" s="1"/>
  <c r="C1104" i="45"/>
  <c r="D1103" i="45"/>
  <c r="F1103" i="45" s="1"/>
  <c r="C1103" i="45"/>
  <c r="D1102" i="45"/>
  <c r="B1102" i="45"/>
  <c r="A1102" i="45"/>
  <c r="B1101" i="45"/>
  <c r="A1101" i="45"/>
  <c r="B1100" i="45"/>
  <c r="A1100" i="45"/>
  <c r="D1099" i="45"/>
  <c r="F1099" i="45" s="1"/>
  <c r="C1099" i="45"/>
  <c r="D1098" i="45"/>
  <c r="F1098" i="45" s="1"/>
  <c r="C1098" i="45"/>
  <c r="D1097" i="45"/>
  <c r="F1097" i="45" s="1"/>
  <c r="C1097" i="45"/>
  <c r="D1096" i="45"/>
  <c r="F1096" i="45" s="1"/>
  <c r="C1096" i="45"/>
  <c r="D1095" i="45"/>
  <c r="F1095" i="45" s="1"/>
  <c r="C1095" i="45"/>
  <c r="D1094" i="45"/>
  <c r="F1094" i="45" s="1"/>
  <c r="C1094" i="45"/>
  <c r="D1093" i="45"/>
  <c r="F1093" i="45" s="1"/>
  <c r="C1093" i="45"/>
  <c r="D1092" i="45"/>
  <c r="F1092" i="45" s="1"/>
  <c r="C1092" i="45"/>
  <c r="D1091" i="45"/>
  <c r="F1091" i="45" s="1"/>
  <c r="C1091" i="45"/>
  <c r="D1090" i="45"/>
  <c r="F1090" i="45" s="1"/>
  <c r="C1090" i="45"/>
  <c r="D1089" i="45"/>
  <c r="F1089" i="45" s="1"/>
  <c r="C1089" i="45"/>
  <c r="D1088" i="45"/>
  <c r="D1087" i="45"/>
  <c r="F1087" i="45" s="1"/>
  <c r="C1087" i="45"/>
  <c r="D1086" i="45"/>
  <c r="F1086" i="45" s="1"/>
  <c r="C1086" i="45"/>
  <c r="D1085" i="45"/>
  <c r="F1085" i="45" s="1"/>
  <c r="C1085" i="45"/>
  <c r="D1084" i="45"/>
  <c r="F1084" i="45" s="1"/>
  <c r="C1084" i="45"/>
  <c r="D1083" i="45"/>
  <c r="F1083" i="45" s="1"/>
  <c r="C1083" i="45"/>
  <c r="D1082" i="45"/>
  <c r="F1082" i="45" s="1"/>
  <c r="C1082" i="45"/>
  <c r="D1081" i="45"/>
  <c r="F1081" i="45" s="1"/>
  <c r="C1081" i="45"/>
  <c r="D1080" i="45"/>
  <c r="F1080" i="45" s="1"/>
  <c r="C1080" i="45"/>
  <c r="D1079" i="45"/>
  <c r="F1079" i="45" s="1"/>
  <c r="C1079" i="45"/>
  <c r="D1078" i="45"/>
  <c r="F1078" i="45" s="1"/>
  <c r="C1078" i="45"/>
  <c r="D1077" i="45"/>
  <c r="F1077" i="45" s="1"/>
  <c r="C1077" i="45"/>
  <c r="D1076" i="45"/>
  <c r="B1075" i="45"/>
  <c r="A1075" i="45"/>
  <c r="B1074" i="45"/>
  <c r="A1074" i="45"/>
  <c r="D1073" i="45"/>
  <c r="F1073" i="45" s="1"/>
  <c r="C1073" i="45"/>
  <c r="D1072" i="45"/>
  <c r="F1072" i="45" s="1"/>
  <c r="C1072" i="45"/>
  <c r="D1071" i="45"/>
  <c r="F1071" i="45" s="1"/>
  <c r="C1071" i="45"/>
  <c r="D1070" i="45"/>
  <c r="F1070" i="45" s="1"/>
  <c r="C1070" i="45"/>
  <c r="D1069" i="45"/>
  <c r="F1069" i="45" s="1"/>
  <c r="C1069" i="45"/>
  <c r="D1068" i="45"/>
  <c r="F1068" i="45" s="1"/>
  <c r="C1068" i="45"/>
  <c r="D1067" i="45"/>
  <c r="F1067" i="45" s="1"/>
  <c r="C1067" i="45"/>
  <c r="D1066" i="45"/>
  <c r="F1066" i="45" s="1"/>
  <c r="C1066" i="45"/>
  <c r="D1065" i="45"/>
  <c r="F1065" i="45" s="1"/>
  <c r="C1065" i="45"/>
  <c r="D1064" i="45"/>
  <c r="F1064" i="45" s="1"/>
  <c r="C1064" i="45"/>
  <c r="D1063" i="45"/>
  <c r="F1063" i="45" s="1"/>
  <c r="C1063" i="45"/>
  <c r="D1062" i="45"/>
  <c r="B1062" i="45"/>
  <c r="A1062" i="45"/>
  <c r="B1061" i="45"/>
  <c r="A1061" i="45"/>
  <c r="D1060" i="45"/>
  <c r="F1060" i="45" s="1"/>
  <c r="C1060" i="45"/>
  <c r="D1059" i="45"/>
  <c r="F1059" i="45" s="1"/>
  <c r="C1059" i="45"/>
  <c r="D1058" i="45"/>
  <c r="F1058" i="45" s="1"/>
  <c r="C1058" i="45"/>
  <c r="D1057" i="45"/>
  <c r="F1057" i="45" s="1"/>
  <c r="C1057" i="45"/>
  <c r="D1056" i="45"/>
  <c r="F1056" i="45" s="1"/>
  <c r="C1056" i="45"/>
  <c r="D1055" i="45"/>
  <c r="F1055" i="45" s="1"/>
  <c r="C1055" i="45"/>
  <c r="D1054" i="45"/>
  <c r="F1054" i="45" s="1"/>
  <c r="C1054" i="45"/>
  <c r="D1053" i="45"/>
  <c r="F1053" i="45" s="1"/>
  <c r="C1053" i="45"/>
  <c r="D1052" i="45"/>
  <c r="F1052" i="45" s="1"/>
  <c r="C1052" i="45"/>
  <c r="D1051" i="45"/>
  <c r="F1051" i="45" s="1"/>
  <c r="C1051" i="45"/>
  <c r="D1050" i="45"/>
  <c r="F1050" i="45" s="1"/>
  <c r="C1050" i="45"/>
  <c r="D1049" i="45"/>
  <c r="B1049" i="45"/>
  <c r="A1049" i="45"/>
  <c r="D1048" i="45"/>
  <c r="F1048" i="45" s="1"/>
  <c r="C1048" i="45"/>
  <c r="D1047" i="45"/>
  <c r="F1047" i="45" s="1"/>
  <c r="C1047" i="45"/>
  <c r="D1046" i="45"/>
  <c r="F1046" i="45" s="1"/>
  <c r="C1046" i="45"/>
  <c r="D1045" i="45"/>
  <c r="F1045" i="45" s="1"/>
  <c r="C1045" i="45"/>
  <c r="D1044" i="45"/>
  <c r="F1044" i="45" s="1"/>
  <c r="C1044" i="45"/>
  <c r="D1043" i="45"/>
  <c r="F1043" i="45" s="1"/>
  <c r="C1043" i="45"/>
  <c r="D1042" i="45"/>
  <c r="F1042" i="45" s="1"/>
  <c r="C1042" i="45"/>
  <c r="D1041" i="45"/>
  <c r="F1041" i="45" s="1"/>
  <c r="C1041" i="45"/>
  <c r="D1040" i="45"/>
  <c r="F1040" i="45" s="1"/>
  <c r="C1040" i="45"/>
  <c r="D1039" i="45"/>
  <c r="F1039" i="45" s="1"/>
  <c r="C1039" i="45"/>
  <c r="D1038" i="45"/>
  <c r="F1038" i="45" s="1"/>
  <c r="C1038" i="45"/>
  <c r="D1037" i="45"/>
  <c r="B1037" i="45"/>
  <c r="A1037" i="45"/>
  <c r="D1036" i="45"/>
  <c r="F1036" i="45" s="1"/>
  <c r="C1036" i="45"/>
  <c r="D1035" i="45"/>
  <c r="F1035" i="45" s="1"/>
  <c r="C1035" i="45"/>
  <c r="D1034" i="45"/>
  <c r="F1034" i="45" s="1"/>
  <c r="C1034" i="45"/>
  <c r="D1033" i="45"/>
  <c r="F1033" i="45" s="1"/>
  <c r="C1033" i="45"/>
  <c r="D1032" i="45"/>
  <c r="F1032" i="45" s="1"/>
  <c r="C1032" i="45"/>
  <c r="D1031" i="45"/>
  <c r="F1031" i="45" s="1"/>
  <c r="C1031" i="45"/>
  <c r="D1030" i="45"/>
  <c r="F1030" i="45" s="1"/>
  <c r="C1030" i="45"/>
  <c r="D1029" i="45"/>
  <c r="F1029" i="45" s="1"/>
  <c r="C1029" i="45"/>
  <c r="D1028" i="45"/>
  <c r="F1028" i="45" s="1"/>
  <c r="C1028" i="45"/>
  <c r="D1027" i="45"/>
  <c r="F1027" i="45" s="1"/>
  <c r="C1027" i="45"/>
  <c r="D1026" i="45"/>
  <c r="F1026" i="45" s="1"/>
  <c r="C1026" i="45"/>
  <c r="D1025" i="45"/>
  <c r="B1025" i="45"/>
  <c r="A1025" i="45"/>
  <c r="D1024" i="45"/>
  <c r="F1024" i="45" s="1"/>
  <c r="C1024" i="45"/>
  <c r="D1023" i="45"/>
  <c r="F1023" i="45" s="1"/>
  <c r="C1023" i="45"/>
  <c r="D1022" i="45"/>
  <c r="F1022" i="45" s="1"/>
  <c r="C1022" i="45"/>
  <c r="D1021" i="45"/>
  <c r="F1021" i="45" s="1"/>
  <c r="C1021" i="45"/>
  <c r="D1020" i="45"/>
  <c r="F1020" i="45" s="1"/>
  <c r="C1020" i="45"/>
  <c r="D1019" i="45"/>
  <c r="F1019" i="45" s="1"/>
  <c r="C1019" i="45"/>
  <c r="D1018" i="45"/>
  <c r="F1018" i="45" s="1"/>
  <c r="C1018" i="45"/>
  <c r="D1017" i="45"/>
  <c r="F1017" i="45" s="1"/>
  <c r="C1017" i="45"/>
  <c r="D1016" i="45"/>
  <c r="F1016" i="45" s="1"/>
  <c r="C1016" i="45"/>
  <c r="D1015" i="45"/>
  <c r="F1015" i="45" s="1"/>
  <c r="C1015" i="45"/>
  <c r="D1014" i="45"/>
  <c r="F1014" i="45" s="1"/>
  <c r="C1014" i="45"/>
  <c r="D1013" i="45"/>
  <c r="B1013" i="45"/>
  <c r="A1013" i="45"/>
  <c r="D1012" i="45"/>
  <c r="F1012" i="45" s="1"/>
  <c r="C1012" i="45"/>
  <c r="D1011" i="45"/>
  <c r="F1011" i="45" s="1"/>
  <c r="C1011" i="45"/>
  <c r="D1010" i="45"/>
  <c r="F1010" i="45" s="1"/>
  <c r="C1010" i="45"/>
  <c r="D1009" i="45"/>
  <c r="F1009" i="45" s="1"/>
  <c r="C1009" i="45"/>
  <c r="D1008" i="45"/>
  <c r="F1008" i="45" s="1"/>
  <c r="C1008" i="45"/>
  <c r="D1007" i="45"/>
  <c r="F1007" i="45" s="1"/>
  <c r="C1007" i="45"/>
  <c r="D1006" i="45"/>
  <c r="F1006" i="45" s="1"/>
  <c r="C1006" i="45"/>
  <c r="D1005" i="45"/>
  <c r="F1005" i="45" s="1"/>
  <c r="C1005" i="45"/>
  <c r="D1004" i="45"/>
  <c r="F1004" i="45" s="1"/>
  <c r="C1004" i="45"/>
  <c r="D1003" i="45"/>
  <c r="F1003" i="45" s="1"/>
  <c r="C1003" i="45"/>
  <c r="D1002" i="45"/>
  <c r="F1002" i="45" s="1"/>
  <c r="C1002" i="45"/>
  <c r="D1001" i="45"/>
  <c r="B1001" i="45"/>
  <c r="A1001" i="45"/>
  <c r="B1000" i="45"/>
  <c r="A1000" i="45"/>
  <c r="D999" i="45"/>
  <c r="F999" i="45" s="1"/>
  <c r="C999" i="45"/>
  <c r="D998" i="45"/>
  <c r="F998" i="45" s="1"/>
  <c r="C998" i="45"/>
  <c r="D997" i="45"/>
  <c r="F997" i="45" s="1"/>
  <c r="C997" i="45"/>
  <c r="D996" i="45"/>
  <c r="F996" i="45" s="1"/>
  <c r="C996" i="45"/>
  <c r="D995" i="45"/>
  <c r="F995" i="45" s="1"/>
  <c r="C995" i="45"/>
  <c r="D994" i="45"/>
  <c r="F994" i="45" s="1"/>
  <c r="C994" i="45"/>
  <c r="D993" i="45"/>
  <c r="F993" i="45" s="1"/>
  <c r="C993" i="45"/>
  <c r="D992" i="45"/>
  <c r="F992" i="45" s="1"/>
  <c r="C992" i="45"/>
  <c r="D991" i="45"/>
  <c r="F991" i="45" s="1"/>
  <c r="C991" i="45"/>
  <c r="D990" i="45"/>
  <c r="F990" i="45" s="1"/>
  <c r="C990" i="45"/>
  <c r="D989" i="45"/>
  <c r="F989" i="45" s="1"/>
  <c r="C989" i="45"/>
  <c r="D988" i="45"/>
  <c r="B988" i="45"/>
  <c r="A988" i="45"/>
  <c r="B987" i="45"/>
  <c r="A987" i="45"/>
  <c r="B986" i="45"/>
  <c r="A986" i="45"/>
  <c r="B985" i="45"/>
  <c r="A985" i="45"/>
  <c r="D984" i="45"/>
  <c r="F984" i="45" s="1"/>
  <c r="C984" i="45"/>
  <c r="D983" i="45"/>
  <c r="F983" i="45" s="1"/>
  <c r="C983" i="45"/>
  <c r="D982" i="45"/>
  <c r="F982" i="45" s="1"/>
  <c r="C982" i="45"/>
  <c r="D981" i="45"/>
  <c r="F981" i="45" s="1"/>
  <c r="C981" i="45"/>
  <c r="D980" i="45"/>
  <c r="F980" i="45" s="1"/>
  <c r="C980" i="45"/>
  <c r="D979" i="45"/>
  <c r="F979" i="45" s="1"/>
  <c r="C979" i="45"/>
  <c r="D978" i="45"/>
  <c r="F978" i="45" s="1"/>
  <c r="C978" i="45"/>
  <c r="D977" i="45"/>
  <c r="F977" i="45" s="1"/>
  <c r="C977" i="45"/>
  <c r="D976" i="45"/>
  <c r="F976" i="45" s="1"/>
  <c r="C976" i="45"/>
  <c r="D975" i="45"/>
  <c r="F975" i="45" s="1"/>
  <c r="C975" i="45"/>
  <c r="D974" i="45"/>
  <c r="F974" i="45" s="1"/>
  <c r="C974" i="45"/>
  <c r="D973" i="45"/>
  <c r="B973" i="45"/>
  <c r="A973" i="45"/>
  <c r="D972" i="45"/>
  <c r="F972" i="45" s="1"/>
  <c r="C972" i="45"/>
  <c r="D971" i="45"/>
  <c r="F971" i="45" s="1"/>
  <c r="C971" i="45"/>
  <c r="D970" i="45"/>
  <c r="F970" i="45" s="1"/>
  <c r="C970" i="45"/>
  <c r="D969" i="45"/>
  <c r="F969" i="45" s="1"/>
  <c r="C969" i="45"/>
  <c r="D968" i="45"/>
  <c r="F968" i="45" s="1"/>
  <c r="C968" i="45"/>
  <c r="D967" i="45"/>
  <c r="F967" i="45" s="1"/>
  <c r="C967" i="45"/>
  <c r="D966" i="45"/>
  <c r="F966" i="45" s="1"/>
  <c r="C966" i="45"/>
  <c r="D965" i="45"/>
  <c r="F965" i="45" s="1"/>
  <c r="C965" i="45"/>
  <c r="D964" i="45"/>
  <c r="F964" i="45" s="1"/>
  <c r="C964" i="45"/>
  <c r="D963" i="45"/>
  <c r="F963" i="45" s="1"/>
  <c r="C963" i="45"/>
  <c r="D962" i="45"/>
  <c r="F962" i="45" s="1"/>
  <c r="C962" i="45"/>
  <c r="D961" i="45"/>
  <c r="B961" i="45"/>
  <c r="A961" i="45"/>
  <c r="B960" i="45"/>
  <c r="A960" i="45"/>
  <c r="D959" i="45"/>
  <c r="F959" i="45" s="1"/>
  <c r="C959" i="45"/>
  <c r="D958" i="45"/>
  <c r="F958" i="45" s="1"/>
  <c r="C958" i="45"/>
  <c r="D957" i="45"/>
  <c r="F957" i="45" s="1"/>
  <c r="C957" i="45"/>
  <c r="D956" i="45"/>
  <c r="F956" i="45" s="1"/>
  <c r="C956" i="45"/>
  <c r="D955" i="45"/>
  <c r="F955" i="45" s="1"/>
  <c r="C955" i="45"/>
  <c r="D954" i="45"/>
  <c r="F954" i="45" s="1"/>
  <c r="C954" i="45"/>
  <c r="D953" i="45"/>
  <c r="F953" i="45" s="1"/>
  <c r="C953" i="45"/>
  <c r="D952" i="45"/>
  <c r="F952" i="45" s="1"/>
  <c r="C952" i="45"/>
  <c r="D951" i="45"/>
  <c r="F951" i="45" s="1"/>
  <c r="C951" i="45"/>
  <c r="D950" i="45"/>
  <c r="F950" i="45" s="1"/>
  <c r="C950" i="45"/>
  <c r="D949" i="45"/>
  <c r="F949" i="45" s="1"/>
  <c r="C949" i="45"/>
  <c r="D948" i="45"/>
  <c r="B948" i="45"/>
  <c r="A948" i="45"/>
  <c r="D947" i="45"/>
  <c r="F947" i="45" s="1"/>
  <c r="C947" i="45"/>
  <c r="D946" i="45"/>
  <c r="F946" i="45" s="1"/>
  <c r="C946" i="45"/>
  <c r="D945" i="45"/>
  <c r="F945" i="45" s="1"/>
  <c r="C945" i="45"/>
  <c r="D944" i="45"/>
  <c r="F944" i="45" s="1"/>
  <c r="C944" i="45"/>
  <c r="D943" i="45"/>
  <c r="F943" i="45" s="1"/>
  <c r="C943" i="45"/>
  <c r="D942" i="45"/>
  <c r="F942" i="45" s="1"/>
  <c r="C942" i="45"/>
  <c r="D941" i="45"/>
  <c r="F941" i="45" s="1"/>
  <c r="C941" i="45"/>
  <c r="D940" i="45"/>
  <c r="F940" i="45" s="1"/>
  <c r="C940" i="45"/>
  <c r="D939" i="45"/>
  <c r="F939" i="45" s="1"/>
  <c r="C939" i="45"/>
  <c r="D938" i="45"/>
  <c r="F938" i="45" s="1"/>
  <c r="C938" i="45"/>
  <c r="D937" i="45"/>
  <c r="F937" i="45" s="1"/>
  <c r="C937" i="45"/>
  <c r="D936" i="45"/>
  <c r="B936" i="45"/>
  <c r="A936" i="45"/>
  <c r="B935" i="45"/>
  <c r="A935" i="45"/>
  <c r="B934" i="45"/>
  <c r="A934" i="45"/>
  <c r="B933" i="45"/>
  <c r="A933" i="45"/>
  <c r="B932" i="45"/>
  <c r="A932" i="45"/>
  <c r="B931" i="45"/>
  <c r="A931" i="45"/>
  <c r="B930" i="45"/>
  <c r="A930" i="45"/>
  <c r="B929" i="45"/>
  <c r="A929" i="45"/>
  <c r="D928" i="45"/>
  <c r="F928" i="45" s="1"/>
  <c r="C928" i="45"/>
  <c r="D927" i="45"/>
  <c r="F927" i="45" s="1"/>
  <c r="C927" i="45"/>
  <c r="D926" i="45"/>
  <c r="F926" i="45" s="1"/>
  <c r="C926" i="45"/>
  <c r="D925" i="45"/>
  <c r="F925" i="45" s="1"/>
  <c r="C925" i="45"/>
  <c r="D924" i="45"/>
  <c r="F924" i="45" s="1"/>
  <c r="C924" i="45"/>
  <c r="D923" i="45"/>
  <c r="F923" i="45" s="1"/>
  <c r="C923" i="45"/>
  <c r="D922" i="45"/>
  <c r="F922" i="45" s="1"/>
  <c r="C922" i="45"/>
  <c r="D921" i="45"/>
  <c r="F921" i="45" s="1"/>
  <c r="C921" i="45"/>
  <c r="D920" i="45"/>
  <c r="F920" i="45" s="1"/>
  <c r="C920" i="45"/>
  <c r="D919" i="45"/>
  <c r="F919" i="45" s="1"/>
  <c r="C919" i="45"/>
  <c r="D918" i="45"/>
  <c r="F918" i="45" s="1"/>
  <c r="C918" i="45"/>
  <c r="D917" i="45"/>
  <c r="B917" i="45"/>
  <c r="A917" i="45"/>
  <c r="B916" i="45"/>
  <c r="A916" i="45"/>
  <c r="D915" i="45"/>
  <c r="F915" i="45" s="1"/>
  <c r="C915" i="45"/>
  <c r="D914" i="45"/>
  <c r="F914" i="45" s="1"/>
  <c r="C914" i="45"/>
  <c r="D913" i="45"/>
  <c r="F913" i="45" s="1"/>
  <c r="C913" i="45"/>
  <c r="D912" i="45"/>
  <c r="F912" i="45" s="1"/>
  <c r="C912" i="45"/>
  <c r="D911" i="45"/>
  <c r="F911" i="45" s="1"/>
  <c r="C911" i="45"/>
  <c r="D910" i="45"/>
  <c r="F910" i="45" s="1"/>
  <c r="C910" i="45"/>
  <c r="D909" i="45"/>
  <c r="F909" i="45" s="1"/>
  <c r="C909" i="45"/>
  <c r="D908" i="45"/>
  <c r="F908" i="45" s="1"/>
  <c r="C908" i="45"/>
  <c r="D907" i="45"/>
  <c r="F907" i="45" s="1"/>
  <c r="C907" i="45"/>
  <c r="D906" i="45"/>
  <c r="F906" i="45" s="1"/>
  <c r="C906" i="45"/>
  <c r="D905" i="45"/>
  <c r="F905" i="45" s="1"/>
  <c r="C905" i="45"/>
  <c r="D904" i="45"/>
  <c r="B904" i="45"/>
  <c r="A904" i="45"/>
  <c r="D903" i="45"/>
  <c r="F903" i="45" s="1"/>
  <c r="C903" i="45"/>
  <c r="D902" i="45"/>
  <c r="F902" i="45" s="1"/>
  <c r="C902" i="45"/>
  <c r="D901" i="45"/>
  <c r="F901" i="45" s="1"/>
  <c r="C901" i="45"/>
  <c r="D900" i="45"/>
  <c r="F900" i="45" s="1"/>
  <c r="C900" i="45"/>
  <c r="D899" i="45"/>
  <c r="F899" i="45" s="1"/>
  <c r="C899" i="45"/>
  <c r="D898" i="45"/>
  <c r="F898" i="45" s="1"/>
  <c r="C898" i="45"/>
  <c r="D897" i="45"/>
  <c r="F897" i="45" s="1"/>
  <c r="C897" i="45"/>
  <c r="D896" i="45"/>
  <c r="F896" i="45" s="1"/>
  <c r="C896" i="45"/>
  <c r="D895" i="45"/>
  <c r="F895" i="45" s="1"/>
  <c r="C895" i="45"/>
  <c r="D894" i="45"/>
  <c r="F894" i="45" s="1"/>
  <c r="C894" i="45"/>
  <c r="D893" i="45"/>
  <c r="F893" i="45" s="1"/>
  <c r="C893" i="45"/>
  <c r="D892" i="45"/>
  <c r="B892" i="45"/>
  <c r="A892" i="45"/>
  <c r="B891" i="45"/>
  <c r="A891" i="45"/>
  <c r="B890" i="45"/>
  <c r="A890" i="45"/>
  <c r="D889" i="45"/>
  <c r="F889" i="45" s="1"/>
  <c r="C889" i="45"/>
  <c r="D888" i="45"/>
  <c r="F888" i="45" s="1"/>
  <c r="C888" i="45"/>
  <c r="D887" i="45"/>
  <c r="F887" i="45" s="1"/>
  <c r="C887" i="45"/>
  <c r="D886" i="45"/>
  <c r="F886" i="45" s="1"/>
  <c r="C886" i="45"/>
  <c r="D885" i="45"/>
  <c r="F885" i="45" s="1"/>
  <c r="C885" i="45"/>
  <c r="D884" i="45"/>
  <c r="F884" i="45" s="1"/>
  <c r="C884" i="45"/>
  <c r="D883" i="45"/>
  <c r="F883" i="45" s="1"/>
  <c r="C883" i="45"/>
  <c r="D882" i="45"/>
  <c r="F882" i="45" s="1"/>
  <c r="C882" i="45"/>
  <c r="D881" i="45"/>
  <c r="F881" i="45" s="1"/>
  <c r="C881" i="45"/>
  <c r="D880" i="45"/>
  <c r="F880" i="45" s="1"/>
  <c r="C880" i="45"/>
  <c r="D879" i="45"/>
  <c r="F879" i="45" s="1"/>
  <c r="C879" i="45"/>
  <c r="D878" i="45"/>
  <c r="B878" i="45"/>
  <c r="A878" i="45"/>
  <c r="D877" i="45"/>
  <c r="F877" i="45" s="1"/>
  <c r="C877" i="45"/>
  <c r="D876" i="45"/>
  <c r="F876" i="45" s="1"/>
  <c r="C876" i="45"/>
  <c r="D875" i="45"/>
  <c r="F875" i="45" s="1"/>
  <c r="C875" i="45"/>
  <c r="D874" i="45"/>
  <c r="F874" i="45" s="1"/>
  <c r="C874" i="45"/>
  <c r="D873" i="45"/>
  <c r="F873" i="45" s="1"/>
  <c r="C873" i="45"/>
  <c r="D872" i="45"/>
  <c r="F872" i="45" s="1"/>
  <c r="C872" i="45"/>
  <c r="D871" i="45"/>
  <c r="F871" i="45" s="1"/>
  <c r="C871" i="45"/>
  <c r="D870" i="45"/>
  <c r="F870" i="45" s="1"/>
  <c r="C870" i="45"/>
  <c r="D869" i="45"/>
  <c r="F869" i="45" s="1"/>
  <c r="C869" i="45"/>
  <c r="D868" i="45"/>
  <c r="F868" i="45" s="1"/>
  <c r="C868" i="45"/>
  <c r="D867" i="45"/>
  <c r="F867" i="45" s="1"/>
  <c r="C867" i="45"/>
  <c r="D866" i="45"/>
  <c r="B866" i="45"/>
  <c r="A866" i="45"/>
  <c r="B865" i="45"/>
  <c r="A865" i="45"/>
  <c r="B864" i="45"/>
  <c r="A864" i="45"/>
  <c r="B863" i="45"/>
  <c r="A863" i="45"/>
  <c r="B862" i="45"/>
  <c r="A862" i="45"/>
  <c r="B861" i="45"/>
  <c r="A861" i="45"/>
  <c r="B860" i="45"/>
  <c r="A860" i="45"/>
  <c r="D859" i="45"/>
  <c r="F859" i="45" s="1"/>
  <c r="C859" i="45"/>
  <c r="D858" i="45"/>
  <c r="F858" i="45" s="1"/>
  <c r="C858" i="45"/>
  <c r="D857" i="45"/>
  <c r="F857" i="45" s="1"/>
  <c r="C857" i="45"/>
  <c r="D856" i="45"/>
  <c r="F856" i="45" s="1"/>
  <c r="C856" i="45"/>
  <c r="D855" i="45"/>
  <c r="F855" i="45" s="1"/>
  <c r="C855" i="45"/>
  <c r="D854" i="45"/>
  <c r="F854" i="45" s="1"/>
  <c r="C854" i="45"/>
  <c r="D853" i="45"/>
  <c r="F853" i="45" s="1"/>
  <c r="C853" i="45"/>
  <c r="D852" i="45"/>
  <c r="F852" i="45" s="1"/>
  <c r="C852" i="45"/>
  <c r="D851" i="45"/>
  <c r="F851" i="45" s="1"/>
  <c r="C851" i="45"/>
  <c r="D850" i="45"/>
  <c r="F850" i="45" s="1"/>
  <c r="C850" i="45"/>
  <c r="D849" i="45"/>
  <c r="F849" i="45" s="1"/>
  <c r="C849" i="45"/>
  <c r="D848" i="45"/>
  <c r="B848" i="45"/>
  <c r="A848" i="45"/>
  <c r="D847" i="45"/>
  <c r="F847" i="45" s="1"/>
  <c r="C847" i="45"/>
  <c r="D846" i="45"/>
  <c r="F846" i="45" s="1"/>
  <c r="C846" i="45"/>
  <c r="D845" i="45"/>
  <c r="F845" i="45" s="1"/>
  <c r="C845" i="45"/>
  <c r="D844" i="45"/>
  <c r="F844" i="45" s="1"/>
  <c r="C844" i="45"/>
  <c r="D843" i="45"/>
  <c r="F843" i="45" s="1"/>
  <c r="C843" i="45"/>
  <c r="D842" i="45"/>
  <c r="F842" i="45" s="1"/>
  <c r="C842" i="45"/>
  <c r="D841" i="45"/>
  <c r="F841" i="45" s="1"/>
  <c r="C841" i="45"/>
  <c r="D840" i="45"/>
  <c r="F840" i="45" s="1"/>
  <c r="C840" i="45"/>
  <c r="D839" i="45"/>
  <c r="F839" i="45" s="1"/>
  <c r="C839" i="45"/>
  <c r="D838" i="45"/>
  <c r="F838" i="45" s="1"/>
  <c r="C838" i="45"/>
  <c r="D837" i="45"/>
  <c r="F837" i="45" s="1"/>
  <c r="C837" i="45"/>
  <c r="D836" i="45"/>
  <c r="B836" i="45"/>
  <c r="A836" i="45"/>
  <c r="B835" i="45"/>
  <c r="A835" i="45"/>
  <c r="D803" i="45"/>
  <c r="F803" i="45" s="1"/>
  <c r="D804" i="45"/>
  <c r="F804" i="45" s="1"/>
  <c r="D805" i="45"/>
  <c r="F805" i="45" s="1"/>
  <c r="D806" i="45"/>
  <c r="F806" i="45" s="1"/>
  <c r="D807" i="45"/>
  <c r="F807" i="45" s="1"/>
  <c r="D808" i="45"/>
  <c r="F808" i="45" s="1"/>
  <c r="D809" i="45"/>
  <c r="F809" i="45" s="1"/>
  <c r="D810" i="45"/>
  <c r="F810" i="45" s="1"/>
  <c r="D811" i="45"/>
  <c r="F811" i="45" s="1"/>
  <c r="D812" i="45"/>
  <c r="F812" i="45" s="1"/>
  <c r="D813" i="45"/>
  <c r="F813" i="45" s="1"/>
  <c r="D802" i="45"/>
  <c r="B834" i="45"/>
  <c r="A834" i="45"/>
  <c r="D790" i="45"/>
  <c r="F790" i="45" s="1"/>
  <c r="D791" i="45"/>
  <c r="F791" i="45" s="1"/>
  <c r="D792" i="45"/>
  <c r="F792" i="45" s="1"/>
  <c r="D793" i="45"/>
  <c r="F793" i="45" s="1"/>
  <c r="D794" i="45"/>
  <c r="F794" i="45" s="1"/>
  <c r="D795" i="45"/>
  <c r="F795" i="45" s="1"/>
  <c r="D796" i="45"/>
  <c r="F796" i="45" s="1"/>
  <c r="D797" i="45"/>
  <c r="F797" i="45" s="1"/>
  <c r="D798" i="45"/>
  <c r="F798" i="45" s="1"/>
  <c r="D799" i="45"/>
  <c r="F799" i="45" s="1"/>
  <c r="D800" i="45"/>
  <c r="F800" i="45" s="1"/>
  <c r="D789" i="45"/>
  <c r="B833" i="45"/>
  <c r="A833" i="45"/>
  <c r="D778" i="45"/>
  <c r="F778" i="45" s="1"/>
  <c r="D779" i="45"/>
  <c r="F779" i="45" s="1"/>
  <c r="D780" i="45"/>
  <c r="F780" i="45" s="1"/>
  <c r="D781" i="45"/>
  <c r="F781" i="45" s="1"/>
  <c r="D782" i="45"/>
  <c r="F782" i="45" s="1"/>
  <c r="D783" i="45"/>
  <c r="F783" i="45" s="1"/>
  <c r="D784" i="45"/>
  <c r="F784" i="45" s="1"/>
  <c r="D785" i="45"/>
  <c r="F785" i="45" s="1"/>
  <c r="D786" i="45"/>
  <c r="F786" i="45" s="1"/>
  <c r="D787" i="45"/>
  <c r="F787" i="45" s="1"/>
  <c r="D788" i="45"/>
  <c r="F788" i="45" s="1"/>
  <c r="D777" i="45"/>
  <c r="B832" i="45"/>
  <c r="A832" i="45"/>
  <c r="B831" i="45"/>
  <c r="A831" i="45"/>
  <c r="D765" i="45"/>
  <c r="F765" i="45" s="1"/>
  <c r="D766" i="45"/>
  <c r="F766" i="45" s="1"/>
  <c r="D767" i="45"/>
  <c r="F767" i="45" s="1"/>
  <c r="D768" i="45"/>
  <c r="F768" i="45" s="1"/>
  <c r="D769" i="45"/>
  <c r="F769" i="45" s="1"/>
  <c r="D770" i="45"/>
  <c r="F770" i="45" s="1"/>
  <c r="D771" i="45"/>
  <c r="F771" i="45" s="1"/>
  <c r="D772" i="45"/>
  <c r="F772" i="45" s="1"/>
  <c r="D773" i="45"/>
  <c r="F773" i="45" s="1"/>
  <c r="D774" i="45"/>
  <c r="F774" i="45" s="1"/>
  <c r="D775" i="45"/>
  <c r="F775" i="45" s="1"/>
  <c r="D764" i="45"/>
  <c r="B830" i="45"/>
  <c r="A830" i="45"/>
  <c r="D753" i="45"/>
  <c r="F753" i="45" s="1"/>
  <c r="D754" i="45"/>
  <c r="F754" i="45" s="1"/>
  <c r="D755" i="45"/>
  <c r="F755" i="45" s="1"/>
  <c r="D756" i="45"/>
  <c r="F756" i="45" s="1"/>
  <c r="D757" i="45"/>
  <c r="F757" i="45" s="1"/>
  <c r="D758" i="45"/>
  <c r="F758" i="45" s="1"/>
  <c r="D759" i="45"/>
  <c r="F759" i="45" s="1"/>
  <c r="D760" i="45"/>
  <c r="F760" i="45" s="1"/>
  <c r="D761" i="45"/>
  <c r="F761" i="45" s="1"/>
  <c r="D762" i="45"/>
  <c r="F762" i="45" s="1"/>
  <c r="D763" i="45"/>
  <c r="F763" i="45" s="1"/>
  <c r="D752" i="45"/>
  <c r="B829" i="45"/>
  <c r="A829" i="45"/>
  <c r="D741" i="45"/>
  <c r="F741" i="45" s="1"/>
  <c r="D742" i="45"/>
  <c r="F742" i="45" s="1"/>
  <c r="D743" i="45"/>
  <c r="F743" i="45" s="1"/>
  <c r="D744" i="45"/>
  <c r="F744" i="45" s="1"/>
  <c r="D745" i="45"/>
  <c r="F745" i="45" s="1"/>
  <c r="D746" i="45"/>
  <c r="F746" i="45" s="1"/>
  <c r="D747" i="45"/>
  <c r="F747" i="45" s="1"/>
  <c r="D748" i="45"/>
  <c r="F748" i="45" s="1"/>
  <c r="D749" i="45"/>
  <c r="F749" i="45" s="1"/>
  <c r="D750" i="45"/>
  <c r="F750" i="45" s="1"/>
  <c r="D751" i="45"/>
  <c r="F751" i="45" s="1"/>
  <c r="D740" i="45"/>
  <c r="B828" i="45"/>
  <c r="A828" i="45"/>
  <c r="B827" i="45"/>
  <c r="A827" i="45"/>
  <c r="B826" i="45"/>
  <c r="A826" i="45"/>
  <c r="B825" i="45"/>
  <c r="A825" i="45"/>
  <c r="B824" i="45"/>
  <c r="A824" i="45"/>
  <c r="B823" i="45"/>
  <c r="A823" i="45"/>
  <c r="B822" i="45"/>
  <c r="A822" i="45"/>
  <c r="B821" i="45"/>
  <c r="A821" i="45"/>
  <c r="B820" i="45"/>
  <c r="A820" i="45"/>
  <c r="B819" i="45"/>
  <c r="A819" i="45"/>
  <c r="B818" i="45"/>
  <c r="A818" i="45"/>
  <c r="B817" i="45"/>
  <c r="A817" i="45"/>
  <c r="B816" i="45"/>
  <c r="A816" i="45"/>
  <c r="B815" i="45"/>
  <c r="A815" i="45"/>
  <c r="B814" i="45"/>
  <c r="A814" i="45"/>
  <c r="C813" i="45"/>
  <c r="C812" i="45"/>
  <c r="C811" i="45"/>
  <c r="C810" i="45"/>
  <c r="C809" i="45"/>
  <c r="C808" i="45"/>
  <c r="C807" i="45"/>
  <c r="C806" i="45"/>
  <c r="C805" i="45"/>
  <c r="C804" i="45"/>
  <c r="C803" i="45"/>
  <c r="B802" i="45"/>
  <c r="A802" i="45"/>
  <c r="B801" i="45"/>
  <c r="A801" i="45"/>
  <c r="C800" i="45"/>
  <c r="C799" i="45"/>
  <c r="C798" i="45"/>
  <c r="C797" i="45"/>
  <c r="C796" i="45"/>
  <c r="C795" i="45"/>
  <c r="C794" i="45"/>
  <c r="C793" i="45"/>
  <c r="C792" i="45"/>
  <c r="C791" i="45"/>
  <c r="C790" i="45"/>
  <c r="B789" i="45"/>
  <c r="A789" i="45"/>
  <c r="C788" i="45"/>
  <c r="C787" i="45"/>
  <c r="C786" i="45"/>
  <c r="C785" i="45"/>
  <c r="C784" i="45"/>
  <c r="C783" i="45"/>
  <c r="C782" i="45"/>
  <c r="C781" i="45"/>
  <c r="C780" i="45"/>
  <c r="C779" i="45"/>
  <c r="C778" i="45"/>
  <c r="B777" i="45"/>
  <c r="A777" i="45"/>
  <c r="B776" i="45"/>
  <c r="A776" i="45"/>
  <c r="C775" i="45"/>
  <c r="C774" i="45"/>
  <c r="C773" i="45"/>
  <c r="C772" i="45"/>
  <c r="C771" i="45"/>
  <c r="C770" i="45"/>
  <c r="C769" i="45"/>
  <c r="C768" i="45"/>
  <c r="C767" i="45"/>
  <c r="C766" i="45"/>
  <c r="C765" i="45"/>
  <c r="B764" i="45"/>
  <c r="A764" i="45"/>
  <c r="C763" i="45"/>
  <c r="C762" i="45"/>
  <c r="C761" i="45"/>
  <c r="C760" i="45"/>
  <c r="C759" i="45"/>
  <c r="C758" i="45"/>
  <c r="C757" i="45"/>
  <c r="C756" i="45"/>
  <c r="C755" i="45"/>
  <c r="C754" i="45"/>
  <c r="C753" i="45"/>
  <c r="B752" i="45"/>
  <c r="A752" i="45"/>
  <c r="C751" i="45"/>
  <c r="C750" i="45"/>
  <c r="C749" i="45"/>
  <c r="C748" i="45"/>
  <c r="C747" i="45"/>
  <c r="C746" i="45"/>
  <c r="C745" i="45"/>
  <c r="C744" i="45"/>
  <c r="C743" i="45"/>
  <c r="C742" i="45"/>
  <c r="C741" i="45"/>
  <c r="B740" i="45"/>
  <c r="A740" i="45"/>
  <c r="B739" i="45"/>
  <c r="A739" i="45"/>
  <c r="B738" i="45"/>
  <c r="A738" i="45"/>
  <c r="B737" i="45"/>
  <c r="A737" i="45"/>
  <c r="B736" i="45"/>
  <c r="A736" i="45"/>
  <c r="D735" i="45"/>
  <c r="F735" i="45" s="1"/>
  <c r="C735" i="45"/>
  <c r="D734" i="45"/>
  <c r="F734" i="45" s="1"/>
  <c r="C734" i="45"/>
  <c r="D733" i="45"/>
  <c r="F733" i="45" s="1"/>
  <c r="C733" i="45"/>
  <c r="D732" i="45"/>
  <c r="F732" i="45" s="1"/>
  <c r="C732" i="45"/>
  <c r="D731" i="45"/>
  <c r="F731" i="45" s="1"/>
  <c r="C731" i="45"/>
  <c r="D730" i="45"/>
  <c r="F730" i="45" s="1"/>
  <c r="C730" i="45"/>
  <c r="D729" i="45"/>
  <c r="F729" i="45" s="1"/>
  <c r="C729" i="45"/>
  <c r="D728" i="45"/>
  <c r="F728" i="45" s="1"/>
  <c r="C728" i="45"/>
  <c r="D727" i="45"/>
  <c r="F727" i="45" s="1"/>
  <c r="C727" i="45"/>
  <c r="D726" i="45"/>
  <c r="F726" i="45" s="1"/>
  <c r="C726" i="45"/>
  <c r="D725" i="45"/>
  <c r="F725" i="45" s="1"/>
  <c r="C725" i="45"/>
  <c r="D724" i="45"/>
  <c r="B724" i="45"/>
  <c r="A724" i="45"/>
  <c r="D723" i="45"/>
  <c r="F723" i="45" s="1"/>
  <c r="C723" i="45"/>
  <c r="D722" i="45"/>
  <c r="F722" i="45" s="1"/>
  <c r="C722" i="45"/>
  <c r="D721" i="45"/>
  <c r="F721" i="45" s="1"/>
  <c r="C721" i="45"/>
  <c r="D720" i="45"/>
  <c r="F720" i="45" s="1"/>
  <c r="C720" i="45"/>
  <c r="D719" i="45"/>
  <c r="F719" i="45" s="1"/>
  <c r="C719" i="45"/>
  <c r="D718" i="45"/>
  <c r="F718" i="45" s="1"/>
  <c r="C718" i="45"/>
  <c r="D717" i="45"/>
  <c r="F717" i="45" s="1"/>
  <c r="C717" i="45"/>
  <c r="D716" i="45"/>
  <c r="F716" i="45" s="1"/>
  <c r="C716" i="45"/>
  <c r="D715" i="45"/>
  <c r="F715" i="45" s="1"/>
  <c r="C715" i="45"/>
  <c r="D714" i="45"/>
  <c r="F714" i="45" s="1"/>
  <c r="C714" i="45"/>
  <c r="D713" i="45"/>
  <c r="F713" i="45" s="1"/>
  <c r="C713" i="45"/>
  <c r="D712" i="45"/>
  <c r="B712" i="45"/>
  <c r="A712" i="45"/>
  <c r="D711" i="45"/>
  <c r="F711" i="45" s="1"/>
  <c r="C711" i="45"/>
  <c r="D710" i="45"/>
  <c r="F710" i="45" s="1"/>
  <c r="C710" i="45"/>
  <c r="D709" i="45"/>
  <c r="F709" i="45" s="1"/>
  <c r="C709" i="45"/>
  <c r="D708" i="45"/>
  <c r="F708" i="45" s="1"/>
  <c r="C708" i="45"/>
  <c r="D707" i="45"/>
  <c r="F707" i="45" s="1"/>
  <c r="C707" i="45"/>
  <c r="D706" i="45"/>
  <c r="F706" i="45" s="1"/>
  <c r="C706" i="45"/>
  <c r="D705" i="45"/>
  <c r="F705" i="45" s="1"/>
  <c r="C705" i="45"/>
  <c r="D704" i="45"/>
  <c r="F704" i="45" s="1"/>
  <c r="C704" i="45"/>
  <c r="D703" i="45"/>
  <c r="F703" i="45" s="1"/>
  <c r="C703" i="45"/>
  <c r="D702" i="45"/>
  <c r="F702" i="45" s="1"/>
  <c r="C702" i="45"/>
  <c r="D701" i="45"/>
  <c r="F701" i="45" s="1"/>
  <c r="C701" i="45"/>
  <c r="D700" i="45"/>
  <c r="B700" i="45"/>
  <c r="A700" i="45"/>
  <c r="D699" i="45"/>
  <c r="F699" i="45" s="1"/>
  <c r="C699" i="45"/>
  <c r="D698" i="45"/>
  <c r="F698" i="45" s="1"/>
  <c r="C698" i="45"/>
  <c r="D697" i="45"/>
  <c r="F697" i="45" s="1"/>
  <c r="C697" i="45"/>
  <c r="D696" i="45"/>
  <c r="F696" i="45" s="1"/>
  <c r="C696" i="45"/>
  <c r="D695" i="45"/>
  <c r="F695" i="45" s="1"/>
  <c r="C695" i="45"/>
  <c r="D694" i="45"/>
  <c r="F694" i="45" s="1"/>
  <c r="C694" i="45"/>
  <c r="D693" i="45"/>
  <c r="F693" i="45" s="1"/>
  <c r="C693" i="45"/>
  <c r="D692" i="45"/>
  <c r="F692" i="45" s="1"/>
  <c r="C692" i="45"/>
  <c r="D691" i="45"/>
  <c r="F691" i="45" s="1"/>
  <c r="C691" i="45"/>
  <c r="D690" i="45"/>
  <c r="F690" i="45" s="1"/>
  <c r="C690" i="45"/>
  <c r="D689" i="45"/>
  <c r="F689" i="45" s="1"/>
  <c r="C689" i="45"/>
  <c r="D688" i="45"/>
  <c r="B688" i="45"/>
  <c r="A688" i="45"/>
  <c r="D687" i="45"/>
  <c r="F687" i="45" s="1"/>
  <c r="C687" i="45"/>
  <c r="D686" i="45"/>
  <c r="F686" i="45" s="1"/>
  <c r="C686" i="45"/>
  <c r="D685" i="45"/>
  <c r="F685" i="45" s="1"/>
  <c r="C685" i="45"/>
  <c r="D684" i="45"/>
  <c r="F684" i="45" s="1"/>
  <c r="C684" i="45"/>
  <c r="D683" i="45"/>
  <c r="F683" i="45" s="1"/>
  <c r="C683" i="45"/>
  <c r="D682" i="45"/>
  <c r="F682" i="45" s="1"/>
  <c r="C682" i="45"/>
  <c r="D681" i="45"/>
  <c r="F681" i="45" s="1"/>
  <c r="C681" i="45"/>
  <c r="D680" i="45"/>
  <c r="F680" i="45" s="1"/>
  <c r="C680" i="45"/>
  <c r="D679" i="45"/>
  <c r="F679" i="45" s="1"/>
  <c r="C679" i="45"/>
  <c r="D678" i="45"/>
  <c r="F678" i="45" s="1"/>
  <c r="C678" i="45"/>
  <c r="D677" i="45"/>
  <c r="F677" i="45" s="1"/>
  <c r="C677" i="45"/>
  <c r="D676" i="45"/>
  <c r="B676" i="45"/>
  <c r="A676" i="45"/>
  <c r="B675" i="45"/>
  <c r="A675" i="45"/>
  <c r="B674" i="45"/>
  <c r="A674" i="45"/>
  <c r="D673" i="45"/>
  <c r="F673" i="45" s="1"/>
  <c r="C673" i="45"/>
  <c r="D672" i="45"/>
  <c r="F672" i="45" s="1"/>
  <c r="C672" i="45"/>
  <c r="D671" i="45"/>
  <c r="F671" i="45" s="1"/>
  <c r="C671" i="45"/>
  <c r="D670" i="45"/>
  <c r="F670" i="45" s="1"/>
  <c r="C670" i="45"/>
  <c r="D669" i="45"/>
  <c r="F669" i="45" s="1"/>
  <c r="C669" i="45"/>
  <c r="D668" i="45"/>
  <c r="F668" i="45" s="1"/>
  <c r="C668" i="45"/>
  <c r="D667" i="45"/>
  <c r="F667" i="45" s="1"/>
  <c r="C667" i="45"/>
  <c r="D666" i="45"/>
  <c r="F666" i="45" s="1"/>
  <c r="C666" i="45"/>
  <c r="D665" i="45"/>
  <c r="F665" i="45" s="1"/>
  <c r="C665" i="45"/>
  <c r="D664" i="45"/>
  <c r="F664" i="45" s="1"/>
  <c r="C664" i="45"/>
  <c r="D663" i="45"/>
  <c r="F663" i="45" s="1"/>
  <c r="C663" i="45"/>
  <c r="D662" i="45"/>
  <c r="B662" i="45"/>
  <c r="A662" i="45"/>
  <c r="B661" i="45"/>
  <c r="A661" i="45"/>
  <c r="B660" i="45"/>
  <c r="A660" i="45"/>
  <c r="D659" i="45"/>
  <c r="F659" i="45" s="1"/>
  <c r="C659" i="45"/>
  <c r="D658" i="45"/>
  <c r="F658" i="45" s="1"/>
  <c r="C658" i="45"/>
  <c r="D657" i="45"/>
  <c r="F657" i="45" s="1"/>
  <c r="C657" i="45"/>
  <c r="D656" i="45"/>
  <c r="F656" i="45" s="1"/>
  <c r="C656" i="45"/>
  <c r="D655" i="45"/>
  <c r="F655" i="45" s="1"/>
  <c r="C655" i="45"/>
  <c r="D654" i="45"/>
  <c r="F654" i="45" s="1"/>
  <c r="C654" i="45"/>
  <c r="D653" i="45"/>
  <c r="F653" i="45" s="1"/>
  <c r="C653" i="45"/>
  <c r="D652" i="45"/>
  <c r="F652" i="45" s="1"/>
  <c r="C652" i="45"/>
  <c r="D651" i="45"/>
  <c r="F651" i="45" s="1"/>
  <c r="C651" i="45"/>
  <c r="D650" i="45"/>
  <c r="F650" i="45" s="1"/>
  <c r="C650" i="45"/>
  <c r="D649" i="45"/>
  <c r="F649" i="45" s="1"/>
  <c r="C649" i="45"/>
  <c r="D648" i="45"/>
  <c r="B648" i="45"/>
  <c r="A648" i="45"/>
  <c r="D647" i="45"/>
  <c r="F647" i="45" s="1"/>
  <c r="C647" i="45"/>
  <c r="D646" i="45"/>
  <c r="F646" i="45" s="1"/>
  <c r="C646" i="45"/>
  <c r="D645" i="45"/>
  <c r="F645" i="45" s="1"/>
  <c r="C645" i="45"/>
  <c r="D644" i="45"/>
  <c r="F644" i="45" s="1"/>
  <c r="C644" i="45"/>
  <c r="D643" i="45"/>
  <c r="F643" i="45" s="1"/>
  <c r="C643" i="45"/>
  <c r="D642" i="45"/>
  <c r="F642" i="45" s="1"/>
  <c r="C642" i="45"/>
  <c r="D641" i="45"/>
  <c r="F641" i="45" s="1"/>
  <c r="C641" i="45"/>
  <c r="D640" i="45"/>
  <c r="F640" i="45" s="1"/>
  <c r="C640" i="45"/>
  <c r="D639" i="45"/>
  <c r="F639" i="45" s="1"/>
  <c r="C639" i="45"/>
  <c r="D638" i="45"/>
  <c r="F638" i="45" s="1"/>
  <c r="C638" i="45"/>
  <c r="D637" i="45"/>
  <c r="F637" i="45" s="1"/>
  <c r="C637" i="45"/>
  <c r="D636" i="45"/>
  <c r="B636" i="45"/>
  <c r="A636" i="45"/>
  <c r="B635" i="45"/>
  <c r="A635" i="45"/>
  <c r="B634" i="45"/>
  <c r="A634" i="45"/>
  <c r="D633" i="45"/>
  <c r="F633" i="45" s="1"/>
  <c r="C633" i="45"/>
  <c r="D632" i="45"/>
  <c r="F632" i="45" s="1"/>
  <c r="C632" i="45"/>
  <c r="D631" i="45"/>
  <c r="F631" i="45" s="1"/>
  <c r="C631" i="45"/>
  <c r="D630" i="45"/>
  <c r="F630" i="45" s="1"/>
  <c r="C630" i="45"/>
  <c r="D629" i="45"/>
  <c r="F629" i="45" s="1"/>
  <c r="C629" i="45"/>
  <c r="D628" i="45"/>
  <c r="F628" i="45" s="1"/>
  <c r="C628" i="45"/>
  <c r="D627" i="45"/>
  <c r="F627" i="45" s="1"/>
  <c r="C627" i="45"/>
  <c r="D626" i="45"/>
  <c r="F626" i="45" s="1"/>
  <c r="C626" i="45"/>
  <c r="D625" i="45"/>
  <c r="F625" i="45" s="1"/>
  <c r="C625" i="45"/>
  <c r="D624" i="45"/>
  <c r="F624" i="45" s="1"/>
  <c r="C624" i="45"/>
  <c r="D623" i="45"/>
  <c r="F623" i="45" s="1"/>
  <c r="C623" i="45"/>
  <c r="D622" i="45"/>
  <c r="B622" i="45"/>
  <c r="A622" i="45"/>
  <c r="D621" i="45"/>
  <c r="F621" i="45" s="1"/>
  <c r="C621" i="45"/>
  <c r="D620" i="45"/>
  <c r="F620" i="45" s="1"/>
  <c r="C620" i="45"/>
  <c r="D619" i="45"/>
  <c r="F619" i="45" s="1"/>
  <c r="C619" i="45"/>
  <c r="D618" i="45"/>
  <c r="F618" i="45" s="1"/>
  <c r="C618" i="45"/>
  <c r="D617" i="45"/>
  <c r="F617" i="45" s="1"/>
  <c r="C617" i="45"/>
  <c r="D616" i="45"/>
  <c r="F616" i="45" s="1"/>
  <c r="C616" i="45"/>
  <c r="D615" i="45"/>
  <c r="F615" i="45" s="1"/>
  <c r="C615" i="45"/>
  <c r="D614" i="45"/>
  <c r="F614" i="45" s="1"/>
  <c r="C614" i="45"/>
  <c r="D613" i="45"/>
  <c r="F613" i="45" s="1"/>
  <c r="C613" i="45"/>
  <c r="D612" i="45"/>
  <c r="F612" i="45" s="1"/>
  <c r="C612" i="45"/>
  <c r="D611" i="45"/>
  <c r="F611" i="45" s="1"/>
  <c r="C611" i="45"/>
  <c r="D610" i="45"/>
  <c r="B610" i="45"/>
  <c r="A610" i="45"/>
  <c r="B609" i="45"/>
  <c r="A609" i="45"/>
  <c r="D608" i="45"/>
  <c r="F608" i="45" s="1"/>
  <c r="C608" i="45"/>
  <c r="D607" i="45"/>
  <c r="F607" i="45" s="1"/>
  <c r="C607" i="45"/>
  <c r="D606" i="45"/>
  <c r="F606" i="45" s="1"/>
  <c r="C606" i="45"/>
  <c r="D605" i="45"/>
  <c r="F605" i="45" s="1"/>
  <c r="C605" i="45"/>
  <c r="D604" i="45"/>
  <c r="F604" i="45" s="1"/>
  <c r="C604" i="45"/>
  <c r="D603" i="45"/>
  <c r="F603" i="45" s="1"/>
  <c r="C603" i="45"/>
  <c r="D602" i="45"/>
  <c r="F602" i="45" s="1"/>
  <c r="C602" i="45"/>
  <c r="D601" i="45"/>
  <c r="F601" i="45" s="1"/>
  <c r="C601" i="45"/>
  <c r="D600" i="45"/>
  <c r="F600" i="45" s="1"/>
  <c r="C600" i="45"/>
  <c r="D599" i="45"/>
  <c r="F599" i="45" s="1"/>
  <c r="C599" i="45"/>
  <c r="D598" i="45"/>
  <c r="F598" i="45" s="1"/>
  <c r="C598" i="45"/>
  <c r="D597" i="45"/>
  <c r="B597" i="45"/>
  <c r="A597" i="45"/>
  <c r="D596" i="45"/>
  <c r="F596" i="45" s="1"/>
  <c r="C596" i="45"/>
  <c r="D595" i="45"/>
  <c r="F595" i="45" s="1"/>
  <c r="C595" i="45"/>
  <c r="D594" i="45"/>
  <c r="F594" i="45" s="1"/>
  <c r="C594" i="45"/>
  <c r="D593" i="45"/>
  <c r="F593" i="45" s="1"/>
  <c r="C593" i="45"/>
  <c r="D592" i="45"/>
  <c r="F592" i="45" s="1"/>
  <c r="C592" i="45"/>
  <c r="D591" i="45"/>
  <c r="F591" i="45" s="1"/>
  <c r="C591" i="45"/>
  <c r="D590" i="45"/>
  <c r="F590" i="45" s="1"/>
  <c r="C590" i="45"/>
  <c r="D589" i="45"/>
  <c r="F589" i="45" s="1"/>
  <c r="C589" i="45"/>
  <c r="D588" i="45"/>
  <c r="F588" i="45" s="1"/>
  <c r="C588" i="45"/>
  <c r="D587" i="45"/>
  <c r="F587" i="45" s="1"/>
  <c r="C587" i="45"/>
  <c r="D586" i="45"/>
  <c r="F586" i="45" s="1"/>
  <c r="C586" i="45"/>
  <c r="D585" i="45"/>
  <c r="B585" i="45"/>
  <c r="A585" i="45"/>
  <c r="B584" i="45"/>
  <c r="A584" i="45"/>
  <c r="B583" i="45"/>
  <c r="A583" i="45"/>
  <c r="B582" i="45"/>
  <c r="A582" i="45"/>
  <c r="D581" i="45"/>
  <c r="F581" i="45" s="1"/>
  <c r="C581" i="45"/>
  <c r="D580" i="45"/>
  <c r="F580" i="45" s="1"/>
  <c r="C580" i="45"/>
  <c r="D579" i="45"/>
  <c r="F579" i="45" s="1"/>
  <c r="C579" i="45"/>
  <c r="D578" i="45"/>
  <c r="F578" i="45" s="1"/>
  <c r="C578" i="45"/>
  <c r="D577" i="45"/>
  <c r="F577" i="45" s="1"/>
  <c r="C577" i="45"/>
  <c r="D576" i="45"/>
  <c r="F576" i="45" s="1"/>
  <c r="C576" i="45"/>
  <c r="D575" i="45"/>
  <c r="F575" i="45" s="1"/>
  <c r="C575" i="45"/>
  <c r="D574" i="45"/>
  <c r="F574" i="45" s="1"/>
  <c r="C574" i="45"/>
  <c r="D573" i="45"/>
  <c r="F573" i="45" s="1"/>
  <c r="C573" i="45"/>
  <c r="D572" i="45"/>
  <c r="F572" i="45" s="1"/>
  <c r="C572" i="45"/>
  <c r="D571" i="45"/>
  <c r="F571" i="45" s="1"/>
  <c r="C571" i="45"/>
  <c r="D570" i="45"/>
  <c r="B570" i="45"/>
  <c r="A570" i="45"/>
  <c r="D569" i="45"/>
  <c r="F569" i="45" s="1"/>
  <c r="C569" i="45"/>
  <c r="D568" i="45"/>
  <c r="F568" i="45" s="1"/>
  <c r="C568" i="45"/>
  <c r="D567" i="45"/>
  <c r="F567" i="45" s="1"/>
  <c r="C567" i="45"/>
  <c r="D566" i="45"/>
  <c r="F566" i="45" s="1"/>
  <c r="C566" i="45"/>
  <c r="D565" i="45"/>
  <c r="F565" i="45" s="1"/>
  <c r="C565" i="45"/>
  <c r="D564" i="45"/>
  <c r="F564" i="45" s="1"/>
  <c r="C564" i="45"/>
  <c r="D563" i="45"/>
  <c r="F563" i="45" s="1"/>
  <c r="C563" i="45"/>
  <c r="D562" i="45"/>
  <c r="F562" i="45" s="1"/>
  <c r="C562" i="45"/>
  <c r="D561" i="45"/>
  <c r="F561" i="45" s="1"/>
  <c r="C561" i="45"/>
  <c r="D560" i="45"/>
  <c r="F560" i="45" s="1"/>
  <c r="C560" i="45"/>
  <c r="D559" i="45"/>
  <c r="F559" i="45" s="1"/>
  <c r="C559" i="45"/>
  <c r="D558" i="45"/>
  <c r="B558" i="45"/>
  <c r="A558" i="45"/>
  <c r="B557" i="45"/>
  <c r="A557" i="45"/>
  <c r="D556" i="45"/>
  <c r="F556" i="45" s="1"/>
  <c r="C556" i="45"/>
  <c r="D555" i="45"/>
  <c r="F555" i="45" s="1"/>
  <c r="C555" i="45"/>
  <c r="D554" i="45"/>
  <c r="F554" i="45" s="1"/>
  <c r="C554" i="45"/>
  <c r="D553" i="45"/>
  <c r="F553" i="45" s="1"/>
  <c r="C553" i="45"/>
  <c r="D552" i="45"/>
  <c r="F552" i="45" s="1"/>
  <c r="C552" i="45"/>
  <c r="D551" i="45"/>
  <c r="F551" i="45" s="1"/>
  <c r="C551" i="45"/>
  <c r="D550" i="45"/>
  <c r="F550" i="45" s="1"/>
  <c r="C550" i="45"/>
  <c r="D549" i="45"/>
  <c r="F549" i="45" s="1"/>
  <c r="C549" i="45"/>
  <c r="D548" i="45"/>
  <c r="F548" i="45" s="1"/>
  <c r="C548" i="45"/>
  <c r="D547" i="45"/>
  <c r="F547" i="45" s="1"/>
  <c r="C547" i="45"/>
  <c r="D546" i="45"/>
  <c r="F546" i="45" s="1"/>
  <c r="C546" i="45"/>
  <c r="D545" i="45"/>
  <c r="B545" i="45"/>
  <c r="A545" i="45"/>
  <c r="D544" i="45"/>
  <c r="F544" i="45" s="1"/>
  <c r="C544" i="45"/>
  <c r="D543" i="45"/>
  <c r="F543" i="45" s="1"/>
  <c r="C543" i="45"/>
  <c r="D542" i="45"/>
  <c r="F542" i="45" s="1"/>
  <c r="C542" i="45"/>
  <c r="D541" i="45"/>
  <c r="F541" i="45" s="1"/>
  <c r="C541" i="45"/>
  <c r="D540" i="45"/>
  <c r="F540" i="45" s="1"/>
  <c r="C540" i="45"/>
  <c r="D539" i="45"/>
  <c r="F539" i="45" s="1"/>
  <c r="C539" i="45"/>
  <c r="D538" i="45"/>
  <c r="F538" i="45" s="1"/>
  <c r="C538" i="45"/>
  <c r="D537" i="45"/>
  <c r="F537" i="45" s="1"/>
  <c r="C537" i="45"/>
  <c r="D536" i="45"/>
  <c r="F536" i="45" s="1"/>
  <c r="C536" i="45"/>
  <c r="D535" i="45"/>
  <c r="F535" i="45" s="1"/>
  <c r="C535" i="45"/>
  <c r="D534" i="45"/>
  <c r="F534" i="45" s="1"/>
  <c r="C534" i="45"/>
  <c r="B533" i="45"/>
  <c r="A533" i="45"/>
  <c r="B532" i="45"/>
  <c r="A532" i="45"/>
  <c r="B531" i="45"/>
  <c r="A531" i="45"/>
  <c r="B530" i="45"/>
  <c r="A530" i="45"/>
  <c r="B529" i="45"/>
  <c r="A529" i="45"/>
  <c r="D528" i="45"/>
  <c r="F528" i="45" s="1"/>
  <c r="C528" i="45"/>
  <c r="D527" i="45"/>
  <c r="F527" i="45" s="1"/>
  <c r="C527" i="45"/>
  <c r="D526" i="45"/>
  <c r="F526" i="45" s="1"/>
  <c r="C526" i="45"/>
  <c r="D525" i="45"/>
  <c r="F525" i="45" s="1"/>
  <c r="C525" i="45"/>
  <c r="D524" i="45"/>
  <c r="F524" i="45" s="1"/>
  <c r="C524" i="45"/>
  <c r="D523" i="45"/>
  <c r="F523" i="45" s="1"/>
  <c r="C523" i="45"/>
  <c r="D522" i="45"/>
  <c r="F522" i="45" s="1"/>
  <c r="C522" i="45"/>
  <c r="D521" i="45"/>
  <c r="F521" i="45" s="1"/>
  <c r="C521" i="45"/>
  <c r="D520" i="45"/>
  <c r="F520" i="45" s="1"/>
  <c r="C520" i="45"/>
  <c r="D519" i="45"/>
  <c r="F519" i="45" s="1"/>
  <c r="C519" i="45"/>
  <c r="D518" i="45"/>
  <c r="F518" i="45" s="1"/>
  <c r="C518" i="45"/>
  <c r="D517" i="45"/>
  <c r="B517" i="45"/>
  <c r="A517" i="45"/>
  <c r="D516" i="45"/>
  <c r="F516" i="45" s="1"/>
  <c r="C516" i="45"/>
  <c r="D515" i="45"/>
  <c r="F515" i="45" s="1"/>
  <c r="C515" i="45"/>
  <c r="D514" i="45"/>
  <c r="F514" i="45" s="1"/>
  <c r="C514" i="45"/>
  <c r="D513" i="45"/>
  <c r="F513" i="45" s="1"/>
  <c r="C513" i="45"/>
  <c r="D512" i="45"/>
  <c r="F512" i="45" s="1"/>
  <c r="C512" i="45"/>
  <c r="D511" i="45"/>
  <c r="F511" i="45" s="1"/>
  <c r="C511" i="45"/>
  <c r="D510" i="45"/>
  <c r="F510" i="45" s="1"/>
  <c r="C510" i="45"/>
  <c r="D509" i="45"/>
  <c r="F509" i="45" s="1"/>
  <c r="C509" i="45"/>
  <c r="D508" i="45"/>
  <c r="F508" i="45" s="1"/>
  <c r="C508" i="45"/>
  <c r="D507" i="45"/>
  <c r="F507" i="45" s="1"/>
  <c r="C507" i="45"/>
  <c r="D506" i="45"/>
  <c r="F506" i="45" s="1"/>
  <c r="C506" i="45"/>
  <c r="D505" i="45"/>
  <c r="B505" i="45"/>
  <c r="A505" i="45"/>
  <c r="D504" i="45"/>
  <c r="F504" i="45" s="1"/>
  <c r="C504" i="45"/>
  <c r="D503" i="45"/>
  <c r="F503" i="45" s="1"/>
  <c r="C503" i="45"/>
  <c r="D502" i="45"/>
  <c r="F502" i="45" s="1"/>
  <c r="C502" i="45"/>
  <c r="D501" i="45"/>
  <c r="F501" i="45" s="1"/>
  <c r="C501" i="45"/>
  <c r="D500" i="45"/>
  <c r="F500" i="45" s="1"/>
  <c r="C500" i="45"/>
  <c r="D499" i="45"/>
  <c r="F499" i="45" s="1"/>
  <c r="C499" i="45"/>
  <c r="D498" i="45"/>
  <c r="F498" i="45" s="1"/>
  <c r="C498" i="45"/>
  <c r="D497" i="45"/>
  <c r="F497" i="45" s="1"/>
  <c r="C497" i="45"/>
  <c r="D496" i="45"/>
  <c r="F496" i="45" s="1"/>
  <c r="C496" i="45"/>
  <c r="D495" i="45"/>
  <c r="F495" i="45" s="1"/>
  <c r="C495" i="45"/>
  <c r="D494" i="45"/>
  <c r="F494" i="45" s="1"/>
  <c r="C494" i="45"/>
  <c r="D493" i="45"/>
  <c r="B493" i="45"/>
  <c r="A493" i="45"/>
  <c r="B492" i="45"/>
  <c r="A492" i="45"/>
  <c r="B491" i="45"/>
  <c r="A491" i="45"/>
  <c r="B490" i="45"/>
  <c r="A490" i="45"/>
  <c r="D489" i="45"/>
  <c r="F489" i="45" s="1"/>
  <c r="C489" i="45"/>
  <c r="D488" i="45"/>
  <c r="F488" i="45" s="1"/>
  <c r="C488" i="45"/>
  <c r="D487" i="45"/>
  <c r="F487" i="45" s="1"/>
  <c r="C487" i="45"/>
  <c r="D486" i="45"/>
  <c r="F486" i="45" s="1"/>
  <c r="C486" i="45"/>
  <c r="D485" i="45"/>
  <c r="F485" i="45" s="1"/>
  <c r="C485" i="45"/>
  <c r="D484" i="45"/>
  <c r="F484" i="45" s="1"/>
  <c r="C484" i="45"/>
  <c r="D483" i="45"/>
  <c r="F483" i="45" s="1"/>
  <c r="C483" i="45"/>
  <c r="D482" i="45"/>
  <c r="F482" i="45" s="1"/>
  <c r="C482" i="45"/>
  <c r="D481" i="45"/>
  <c r="F481" i="45" s="1"/>
  <c r="C481" i="45"/>
  <c r="D480" i="45"/>
  <c r="F480" i="45" s="1"/>
  <c r="C480" i="45"/>
  <c r="D479" i="45"/>
  <c r="F479" i="45" s="1"/>
  <c r="C479" i="45"/>
  <c r="D478" i="45"/>
  <c r="B478" i="45"/>
  <c r="A478" i="45"/>
  <c r="D477" i="45"/>
  <c r="F477" i="45" s="1"/>
  <c r="C477" i="45"/>
  <c r="D476" i="45"/>
  <c r="F476" i="45" s="1"/>
  <c r="C476" i="45"/>
  <c r="D475" i="45"/>
  <c r="F475" i="45" s="1"/>
  <c r="C475" i="45"/>
  <c r="D474" i="45"/>
  <c r="F474" i="45" s="1"/>
  <c r="C474" i="45"/>
  <c r="D473" i="45"/>
  <c r="F473" i="45" s="1"/>
  <c r="C473" i="45"/>
  <c r="D472" i="45"/>
  <c r="F472" i="45" s="1"/>
  <c r="C472" i="45"/>
  <c r="D471" i="45"/>
  <c r="F471" i="45" s="1"/>
  <c r="C471" i="45"/>
  <c r="D470" i="45"/>
  <c r="F470" i="45" s="1"/>
  <c r="C470" i="45"/>
  <c r="D469" i="45"/>
  <c r="F469" i="45" s="1"/>
  <c r="C469" i="45"/>
  <c r="D468" i="45"/>
  <c r="F468" i="45" s="1"/>
  <c r="C468" i="45"/>
  <c r="D467" i="45"/>
  <c r="F467" i="45" s="1"/>
  <c r="C467" i="45"/>
  <c r="D466" i="45"/>
  <c r="B466" i="45"/>
  <c r="A466" i="45"/>
  <c r="B465" i="45"/>
  <c r="A465" i="45"/>
  <c r="B464" i="45"/>
  <c r="A464" i="45"/>
  <c r="B463" i="45"/>
  <c r="A463" i="45"/>
  <c r="D462" i="45"/>
  <c r="F462" i="45" s="1"/>
  <c r="C462" i="45"/>
  <c r="D461" i="45"/>
  <c r="F461" i="45" s="1"/>
  <c r="C461" i="45"/>
  <c r="D460" i="45"/>
  <c r="F460" i="45" s="1"/>
  <c r="C460" i="45"/>
  <c r="D459" i="45"/>
  <c r="F459" i="45" s="1"/>
  <c r="C459" i="45"/>
  <c r="D458" i="45"/>
  <c r="F458" i="45" s="1"/>
  <c r="C458" i="45"/>
  <c r="D457" i="45"/>
  <c r="F457" i="45" s="1"/>
  <c r="C457" i="45"/>
  <c r="D456" i="45"/>
  <c r="F456" i="45" s="1"/>
  <c r="C456" i="45"/>
  <c r="D455" i="45"/>
  <c r="F455" i="45" s="1"/>
  <c r="C455" i="45"/>
  <c r="D454" i="45"/>
  <c r="F454" i="45" s="1"/>
  <c r="C454" i="45"/>
  <c r="D453" i="45"/>
  <c r="F453" i="45" s="1"/>
  <c r="C453" i="45"/>
  <c r="D452" i="45"/>
  <c r="F452" i="45" s="1"/>
  <c r="C452" i="45"/>
  <c r="D451" i="45"/>
  <c r="B451" i="45"/>
  <c r="A451" i="45"/>
  <c r="D450" i="45"/>
  <c r="F450" i="45" s="1"/>
  <c r="C450" i="45"/>
  <c r="D449" i="45"/>
  <c r="F449" i="45" s="1"/>
  <c r="C449" i="45"/>
  <c r="D448" i="45"/>
  <c r="F448" i="45" s="1"/>
  <c r="C448" i="45"/>
  <c r="D447" i="45"/>
  <c r="F447" i="45" s="1"/>
  <c r="C447" i="45"/>
  <c r="D446" i="45"/>
  <c r="F446" i="45" s="1"/>
  <c r="C446" i="45"/>
  <c r="D445" i="45"/>
  <c r="F445" i="45" s="1"/>
  <c r="C445" i="45"/>
  <c r="D444" i="45"/>
  <c r="F444" i="45" s="1"/>
  <c r="C444" i="45"/>
  <c r="D443" i="45"/>
  <c r="F443" i="45" s="1"/>
  <c r="C443" i="45"/>
  <c r="D442" i="45"/>
  <c r="F442" i="45" s="1"/>
  <c r="C442" i="45"/>
  <c r="D441" i="45"/>
  <c r="F441" i="45" s="1"/>
  <c r="C441" i="45"/>
  <c r="D440" i="45"/>
  <c r="F440" i="45" s="1"/>
  <c r="C440" i="45"/>
  <c r="D439" i="45"/>
  <c r="B439" i="45"/>
  <c r="A439" i="45"/>
  <c r="B438" i="45"/>
  <c r="A438" i="45"/>
  <c r="B437" i="45"/>
  <c r="A437" i="45"/>
  <c r="B436" i="45"/>
  <c r="A436" i="45"/>
  <c r="B435" i="45"/>
  <c r="A435" i="45"/>
  <c r="B434" i="45"/>
  <c r="A434" i="45"/>
  <c r="B433" i="45"/>
  <c r="A433" i="45"/>
  <c r="B432" i="45"/>
  <c r="A432" i="45"/>
  <c r="B431" i="45"/>
  <c r="A431" i="45"/>
  <c r="B430" i="45"/>
  <c r="A430" i="45"/>
  <c r="B429" i="45"/>
  <c r="A429" i="45"/>
  <c r="B428" i="45"/>
  <c r="A428" i="45"/>
  <c r="B427" i="45"/>
  <c r="A427" i="45"/>
  <c r="B426" i="45"/>
  <c r="A426" i="45"/>
  <c r="B425" i="45"/>
  <c r="A425" i="45"/>
  <c r="B424" i="45"/>
  <c r="A424" i="45"/>
  <c r="B423" i="45"/>
  <c r="A423" i="45"/>
  <c r="B422" i="45"/>
  <c r="A422" i="45"/>
  <c r="B421" i="45"/>
  <c r="A421" i="45"/>
  <c r="B420" i="45"/>
  <c r="A420" i="45"/>
  <c r="B419" i="45"/>
  <c r="A419" i="45"/>
  <c r="B418" i="45"/>
  <c r="A418" i="45"/>
  <c r="B417" i="45"/>
  <c r="A417" i="45"/>
  <c r="B416" i="45"/>
  <c r="A416" i="45"/>
  <c r="B415" i="45"/>
  <c r="A415" i="45"/>
  <c r="B414" i="45"/>
  <c r="A414" i="45"/>
  <c r="B413" i="45"/>
  <c r="A413" i="45"/>
  <c r="B412" i="45"/>
  <c r="A412" i="45"/>
  <c r="B411" i="45"/>
  <c r="A411" i="45"/>
  <c r="B410" i="45"/>
  <c r="A410" i="45"/>
  <c r="B409" i="45"/>
  <c r="A409" i="45"/>
  <c r="B408" i="45"/>
  <c r="A408" i="45"/>
  <c r="B407" i="45"/>
  <c r="A407" i="45"/>
  <c r="B406" i="45"/>
  <c r="A406" i="45"/>
  <c r="D405" i="45"/>
  <c r="F405" i="45" s="1"/>
  <c r="C405" i="45"/>
  <c r="D404" i="45"/>
  <c r="F404" i="45" s="1"/>
  <c r="C404" i="45"/>
  <c r="D403" i="45"/>
  <c r="F403" i="45" s="1"/>
  <c r="C403" i="45"/>
  <c r="D402" i="45"/>
  <c r="F402" i="45" s="1"/>
  <c r="C402" i="45"/>
  <c r="D401" i="45"/>
  <c r="F401" i="45" s="1"/>
  <c r="C401" i="45"/>
  <c r="D400" i="45"/>
  <c r="F400" i="45" s="1"/>
  <c r="C400" i="45"/>
  <c r="D399" i="45"/>
  <c r="F399" i="45" s="1"/>
  <c r="C399" i="45"/>
  <c r="D398" i="45"/>
  <c r="F398" i="45" s="1"/>
  <c r="C398" i="45"/>
  <c r="D397" i="45"/>
  <c r="F397" i="45" s="1"/>
  <c r="C397" i="45"/>
  <c r="D396" i="45"/>
  <c r="F396" i="45" s="1"/>
  <c r="C396" i="45"/>
  <c r="D395" i="45"/>
  <c r="F395" i="45" s="1"/>
  <c r="C395" i="45"/>
  <c r="D394" i="45"/>
  <c r="B394" i="45"/>
  <c r="A394" i="45"/>
  <c r="D393" i="45"/>
  <c r="F393" i="45" s="1"/>
  <c r="C393" i="45"/>
  <c r="D392" i="45"/>
  <c r="F392" i="45" s="1"/>
  <c r="C392" i="45"/>
  <c r="D391" i="45"/>
  <c r="F391" i="45" s="1"/>
  <c r="C391" i="45"/>
  <c r="D390" i="45"/>
  <c r="F390" i="45" s="1"/>
  <c r="C390" i="45"/>
  <c r="D389" i="45"/>
  <c r="F389" i="45" s="1"/>
  <c r="C389" i="45"/>
  <c r="D388" i="45"/>
  <c r="F388" i="45" s="1"/>
  <c r="C388" i="45"/>
  <c r="D387" i="45"/>
  <c r="F387" i="45" s="1"/>
  <c r="C387" i="45"/>
  <c r="D386" i="45"/>
  <c r="F386" i="45" s="1"/>
  <c r="C386" i="45"/>
  <c r="D385" i="45"/>
  <c r="F385" i="45" s="1"/>
  <c r="C385" i="45"/>
  <c r="D384" i="45"/>
  <c r="F384" i="45" s="1"/>
  <c r="C384" i="45"/>
  <c r="D383" i="45"/>
  <c r="F383" i="45" s="1"/>
  <c r="C383" i="45"/>
  <c r="D382" i="45"/>
  <c r="B382" i="45"/>
  <c r="A382" i="45"/>
  <c r="D381" i="45"/>
  <c r="F381" i="45" s="1"/>
  <c r="C381" i="45"/>
  <c r="D380" i="45"/>
  <c r="F380" i="45" s="1"/>
  <c r="C380" i="45"/>
  <c r="D379" i="45"/>
  <c r="F379" i="45" s="1"/>
  <c r="C379" i="45"/>
  <c r="D378" i="45"/>
  <c r="F378" i="45" s="1"/>
  <c r="C378" i="45"/>
  <c r="D377" i="45"/>
  <c r="F377" i="45" s="1"/>
  <c r="C377" i="45"/>
  <c r="D376" i="45"/>
  <c r="F376" i="45" s="1"/>
  <c r="C376" i="45"/>
  <c r="D375" i="45"/>
  <c r="F375" i="45" s="1"/>
  <c r="C375" i="45"/>
  <c r="D374" i="45"/>
  <c r="F374" i="45" s="1"/>
  <c r="C374" i="45"/>
  <c r="D373" i="45"/>
  <c r="F373" i="45" s="1"/>
  <c r="C373" i="45"/>
  <c r="D372" i="45"/>
  <c r="F372" i="45" s="1"/>
  <c r="C372" i="45"/>
  <c r="D371" i="45"/>
  <c r="F371" i="45" s="1"/>
  <c r="C371" i="45"/>
  <c r="D370" i="45"/>
  <c r="B370" i="45"/>
  <c r="A370" i="45"/>
  <c r="B369" i="45"/>
  <c r="A369" i="45"/>
  <c r="B368" i="45"/>
  <c r="A368" i="45"/>
  <c r="D367" i="45"/>
  <c r="F367" i="45" s="1"/>
  <c r="C367" i="45"/>
  <c r="D366" i="45"/>
  <c r="F366" i="45" s="1"/>
  <c r="C366" i="45"/>
  <c r="D365" i="45"/>
  <c r="F365" i="45" s="1"/>
  <c r="C365" i="45"/>
  <c r="D364" i="45"/>
  <c r="F364" i="45" s="1"/>
  <c r="C364" i="45"/>
  <c r="D363" i="45"/>
  <c r="F363" i="45" s="1"/>
  <c r="C363" i="45"/>
  <c r="D362" i="45"/>
  <c r="F362" i="45" s="1"/>
  <c r="C362" i="45"/>
  <c r="D361" i="45"/>
  <c r="F361" i="45" s="1"/>
  <c r="C361" i="45"/>
  <c r="D360" i="45"/>
  <c r="F360" i="45" s="1"/>
  <c r="C360" i="45"/>
  <c r="D359" i="45"/>
  <c r="F359" i="45" s="1"/>
  <c r="C359" i="45"/>
  <c r="D358" i="45"/>
  <c r="F358" i="45" s="1"/>
  <c r="C358" i="45"/>
  <c r="D357" i="45"/>
  <c r="F357" i="45" s="1"/>
  <c r="C357" i="45"/>
  <c r="D356" i="45"/>
  <c r="B356" i="45"/>
  <c r="A356" i="45"/>
  <c r="D355" i="45"/>
  <c r="F355" i="45" s="1"/>
  <c r="C355" i="45"/>
  <c r="D354" i="45"/>
  <c r="F354" i="45" s="1"/>
  <c r="C354" i="45"/>
  <c r="D353" i="45"/>
  <c r="F353" i="45" s="1"/>
  <c r="C353" i="45"/>
  <c r="D352" i="45"/>
  <c r="F352" i="45" s="1"/>
  <c r="C352" i="45"/>
  <c r="D351" i="45"/>
  <c r="F351" i="45" s="1"/>
  <c r="C351" i="45"/>
  <c r="D350" i="45"/>
  <c r="F350" i="45" s="1"/>
  <c r="C350" i="45"/>
  <c r="D349" i="45"/>
  <c r="F349" i="45" s="1"/>
  <c r="C349" i="45"/>
  <c r="D348" i="45"/>
  <c r="F348" i="45" s="1"/>
  <c r="C348" i="45"/>
  <c r="D347" i="45"/>
  <c r="F347" i="45" s="1"/>
  <c r="C347" i="45"/>
  <c r="D346" i="45"/>
  <c r="F346" i="45" s="1"/>
  <c r="C346" i="45"/>
  <c r="D345" i="45"/>
  <c r="F345" i="45" s="1"/>
  <c r="C345" i="45"/>
  <c r="D344" i="45"/>
  <c r="B344" i="45"/>
  <c r="A344" i="45"/>
  <c r="B343" i="45"/>
  <c r="A343" i="45"/>
  <c r="D342" i="45"/>
  <c r="F342" i="45" s="1"/>
  <c r="C342" i="45"/>
  <c r="D341" i="45"/>
  <c r="F341" i="45" s="1"/>
  <c r="C341" i="45"/>
  <c r="D340" i="45"/>
  <c r="F340" i="45" s="1"/>
  <c r="C340" i="45"/>
  <c r="D339" i="45"/>
  <c r="F339" i="45" s="1"/>
  <c r="C339" i="45"/>
  <c r="D338" i="45"/>
  <c r="F338" i="45" s="1"/>
  <c r="C338" i="45"/>
  <c r="D337" i="45"/>
  <c r="F337" i="45" s="1"/>
  <c r="C337" i="45"/>
  <c r="D336" i="45"/>
  <c r="F336" i="45" s="1"/>
  <c r="C336" i="45"/>
  <c r="D335" i="45"/>
  <c r="F335" i="45" s="1"/>
  <c r="C335" i="45"/>
  <c r="D334" i="45"/>
  <c r="F334" i="45" s="1"/>
  <c r="C334" i="45"/>
  <c r="D333" i="45"/>
  <c r="F333" i="45" s="1"/>
  <c r="C333" i="45"/>
  <c r="D332" i="45"/>
  <c r="F332" i="45" s="1"/>
  <c r="C332" i="45"/>
  <c r="D331" i="45"/>
  <c r="B331" i="45"/>
  <c r="A331" i="45"/>
  <c r="B330" i="45"/>
  <c r="A330" i="45"/>
  <c r="B329" i="45"/>
  <c r="A329" i="45"/>
  <c r="D328" i="45"/>
  <c r="F328" i="45" s="1"/>
  <c r="C328" i="45"/>
  <c r="D327" i="45"/>
  <c r="F327" i="45" s="1"/>
  <c r="C327" i="45"/>
  <c r="D326" i="45"/>
  <c r="F326" i="45" s="1"/>
  <c r="C326" i="45"/>
  <c r="D325" i="45"/>
  <c r="F325" i="45" s="1"/>
  <c r="C325" i="45"/>
  <c r="D324" i="45"/>
  <c r="F324" i="45" s="1"/>
  <c r="C324" i="45"/>
  <c r="D323" i="45"/>
  <c r="F323" i="45" s="1"/>
  <c r="C323" i="45"/>
  <c r="D322" i="45"/>
  <c r="F322" i="45" s="1"/>
  <c r="C322" i="45"/>
  <c r="D321" i="45"/>
  <c r="F321" i="45" s="1"/>
  <c r="C321" i="45"/>
  <c r="D320" i="45"/>
  <c r="F320" i="45" s="1"/>
  <c r="C320" i="45"/>
  <c r="D319" i="45"/>
  <c r="F319" i="45" s="1"/>
  <c r="C319" i="45"/>
  <c r="D318" i="45"/>
  <c r="F318" i="45" s="1"/>
  <c r="C318" i="45"/>
  <c r="D317" i="45"/>
  <c r="B317" i="45"/>
  <c r="A317" i="45"/>
  <c r="B316" i="45"/>
  <c r="A316" i="45"/>
  <c r="D315" i="45"/>
  <c r="F315" i="45" s="1"/>
  <c r="C315" i="45"/>
  <c r="D314" i="45"/>
  <c r="F314" i="45" s="1"/>
  <c r="C314" i="45"/>
  <c r="D313" i="45"/>
  <c r="F313" i="45" s="1"/>
  <c r="C313" i="45"/>
  <c r="D312" i="45"/>
  <c r="F312" i="45" s="1"/>
  <c r="C312" i="45"/>
  <c r="D311" i="45"/>
  <c r="F311" i="45" s="1"/>
  <c r="C311" i="45"/>
  <c r="D310" i="45"/>
  <c r="F310" i="45" s="1"/>
  <c r="C310" i="45"/>
  <c r="D309" i="45"/>
  <c r="F309" i="45" s="1"/>
  <c r="C309" i="45"/>
  <c r="D308" i="45"/>
  <c r="F308" i="45" s="1"/>
  <c r="C308" i="45"/>
  <c r="D307" i="45"/>
  <c r="F307" i="45" s="1"/>
  <c r="C307" i="45"/>
  <c r="D306" i="45"/>
  <c r="F306" i="45" s="1"/>
  <c r="C306" i="45"/>
  <c r="D305" i="45"/>
  <c r="F305" i="45" s="1"/>
  <c r="C305" i="45"/>
  <c r="D303" i="45"/>
  <c r="B304" i="45"/>
  <c r="A304" i="45"/>
  <c r="B303" i="45"/>
  <c r="A303" i="45"/>
  <c r="B302" i="45"/>
  <c r="A302" i="45"/>
  <c r="D301" i="45"/>
  <c r="F301" i="45" s="1"/>
  <c r="C301" i="45"/>
  <c r="D300" i="45"/>
  <c r="F300" i="45" s="1"/>
  <c r="C300" i="45"/>
  <c r="D299" i="45"/>
  <c r="F299" i="45" s="1"/>
  <c r="C299" i="45"/>
  <c r="D298" i="45"/>
  <c r="F298" i="45" s="1"/>
  <c r="C298" i="45"/>
  <c r="D297" i="45"/>
  <c r="F297" i="45" s="1"/>
  <c r="C297" i="45"/>
  <c r="D296" i="45"/>
  <c r="F296" i="45" s="1"/>
  <c r="C296" i="45"/>
  <c r="D295" i="45"/>
  <c r="F295" i="45" s="1"/>
  <c r="C295" i="45"/>
  <c r="D294" i="45"/>
  <c r="F294" i="45" s="1"/>
  <c r="C294" i="45"/>
  <c r="D293" i="45"/>
  <c r="F293" i="45" s="1"/>
  <c r="C293" i="45"/>
  <c r="D292" i="45"/>
  <c r="F292" i="45" s="1"/>
  <c r="C292" i="45"/>
  <c r="D291" i="45"/>
  <c r="F291" i="45" s="1"/>
  <c r="C291" i="45"/>
  <c r="D289" i="45"/>
  <c r="B290" i="45"/>
  <c r="A290" i="45"/>
  <c r="B289" i="45"/>
  <c r="A289" i="45"/>
  <c r="B288" i="45"/>
  <c r="A288" i="45"/>
  <c r="B287" i="45"/>
  <c r="A287" i="45"/>
  <c r="D286" i="45"/>
  <c r="F286" i="45" s="1"/>
  <c r="C286" i="45"/>
  <c r="D285" i="45"/>
  <c r="F285" i="45" s="1"/>
  <c r="C285" i="45"/>
  <c r="D284" i="45"/>
  <c r="F284" i="45" s="1"/>
  <c r="C284" i="45"/>
  <c r="D283" i="45"/>
  <c r="F283" i="45" s="1"/>
  <c r="C283" i="45"/>
  <c r="D282" i="45"/>
  <c r="F282" i="45" s="1"/>
  <c r="C282" i="45"/>
  <c r="D281" i="45"/>
  <c r="F281" i="45" s="1"/>
  <c r="C281" i="45"/>
  <c r="D280" i="45"/>
  <c r="F280" i="45" s="1"/>
  <c r="C280" i="45"/>
  <c r="D279" i="45"/>
  <c r="F279" i="45" s="1"/>
  <c r="C279" i="45"/>
  <c r="D278" i="45"/>
  <c r="F278" i="45" s="1"/>
  <c r="C278" i="45"/>
  <c r="D277" i="45"/>
  <c r="F277" i="45" s="1"/>
  <c r="C277" i="45"/>
  <c r="D276" i="45"/>
  <c r="F276" i="45" s="1"/>
  <c r="C276" i="45"/>
  <c r="D274" i="45"/>
  <c r="B273" i="45"/>
  <c r="A273" i="45"/>
  <c r="D272" i="45"/>
  <c r="F272" i="45" s="1"/>
  <c r="C272" i="45"/>
  <c r="D271" i="45"/>
  <c r="F271" i="45" s="1"/>
  <c r="C271" i="45"/>
  <c r="D270" i="45"/>
  <c r="F270" i="45" s="1"/>
  <c r="C270" i="45"/>
  <c r="D269" i="45"/>
  <c r="F269" i="45" s="1"/>
  <c r="C269" i="45"/>
  <c r="D268" i="45"/>
  <c r="F268" i="45" s="1"/>
  <c r="C268" i="45"/>
  <c r="D267" i="45"/>
  <c r="F267" i="45" s="1"/>
  <c r="C267" i="45"/>
  <c r="D266" i="45"/>
  <c r="F266" i="45" s="1"/>
  <c r="C266" i="45"/>
  <c r="D265" i="45"/>
  <c r="F265" i="45" s="1"/>
  <c r="C265" i="45"/>
  <c r="D264" i="45"/>
  <c r="F264" i="45" s="1"/>
  <c r="C264" i="45"/>
  <c r="D263" i="45"/>
  <c r="F263" i="45" s="1"/>
  <c r="C263" i="45"/>
  <c r="D262" i="45"/>
  <c r="F262" i="45" s="1"/>
  <c r="C262" i="45"/>
  <c r="D261" i="45"/>
  <c r="B261" i="45"/>
  <c r="A261" i="45"/>
  <c r="B260" i="45"/>
  <c r="A260" i="45"/>
  <c r="B259" i="45"/>
  <c r="A259" i="45"/>
  <c r="B258" i="45"/>
  <c r="A258" i="45"/>
  <c r="D257" i="45"/>
  <c r="F257" i="45" s="1"/>
  <c r="C257" i="45"/>
  <c r="D256" i="45"/>
  <c r="F256" i="45" s="1"/>
  <c r="C256" i="45"/>
  <c r="D255" i="45"/>
  <c r="F255" i="45" s="1"/>
  <c r="C255" i="45"/>
  <c r="D254" i="45"/>
  <c r="F254" i="45" s="1"/>
  <c r="C254" i="45"/>
  <c r="D253" i="45"/>
  <c r="F253" i="45" s="1"/>
  <c r="C253" i="45"/>
  <c r="D252" i="45"/>
  <c r="F252" i="45" s="1"/>
  <c r="C252" i="45"/>
  <c r="D251" i="45"/>
  <c r="F251" i="45" s="1"/>
  <c r="C251" i="45"/>
  <c r="D250" i="45"/>
  <c r="F250" i="45" s="1"/>
  <c r="C250" i="45"/>
  <c r="D249" i="45"/>
  <c r="F249" i="45" s="1"/>
  <c r="C249" i="45"/>
  <c r="D248" i="45"/>
  <c r="F248" i="45" s="1"/>
  <c r="C248" i="45"/>
  <c r="D247" i="45"/>
  <c r="F247" i="45" s="1"/>
  <c r="C247" i="45"/>
  <c r="D246" i="45"/>
  <c r="B246" i="45"/>
  <c r="A246" i="45"/>
  <c r="D245" i="45"/>
  <c r="F245" i="45" s="1"/>
  <c r="C245" i="45"/>
  <c r="D244" i="45"/>
  <c r="F244" i="45" s="1"/>
  <c r="C244" i="45"/>
  <c r="D243" i="45"/>
  <c r="F243" i="45" s="1"/>
  <c r="C243" i="45"/>
  <c r="D242" i="45"/>
  <c r="F242" i="45" s="1"/>
  <c r="C242" i="45"/>
  <c r="D241" i="45"/>
  <c r="F241" i="45" s="1"/>
  <c r="C241" i="45"/>
  <c r="D240" i="45"/>
  <c r="F240" i="45" s="1"/>
  <c r="C240" i="45"/>
  <c r="D239" i="45"/>
  <c r="F239" i="45" s="1"/>
  <c r="C239" i="45"/>
  <c r="D238" i="45"/>
  <c r="F238" i="45" s="1"/>
  <c r="C238" i="45"/>
  <c r="D237" i="45"/>
  <c r="F237" i="45" s="1"/>
  <c r="C237" i="45"/>
  <c r="D236" i="45"/>
  <c r="F236" i="45" s="1"/>
  <c r="C236" i="45"/>
  <c r="D235" i="45"/>
  <c r="F235" i="45" s="1"/>
  <c r="C235" i="45"/>
  <c r="D234" i="45"/>
  <c r="B234" i="45"/>
  <c r="A234" i="45"/>
  <c r="B233" i="45"/>
  <c r="A233" i="45"/>
  <c r="D232" i="45"/>
  <c r="F232" i="45" s="1"/>
  <c r="C232" i="45"/>
  <c r="D231" i="45"/>
  <c r="F231" i="45" s="1"/>
  <c r="C231" i="45"/>
  <c r="D230" i="45"/>
  <c r="F230" i="45" s="1"/>
  <c r="C230" i="45"/>
  <c r="D229" i="45"/>
  <c r="F229" i="45" s="1"/>
  <c r="C229" i="45"/>
  <c r="D228" i="45"/>
  <c r="F228" i="45" s="1"/>
  <c r="C228" i="45"/>
  <c r="D227" i="45"/>
  <c r="F227" i="45" s="1"/>
  <c r="C227" i="45"/>
  <c r="D226" i="45"/>
  <c r="F226" i="45" s="1"/>
  <c r="C226" i="45"/>
  <c r="D225" i="45"/>
  <c r="F225" i="45" s="1"/>
  <c r="C225" i="45"/>
  <c r="D224" i="45"/>
  <c r="F224" i="45" s="1"/>
  <c r="C224" i="45"/>
  <c r="D223" i="45"/>
  <c r="F223" i="45" s="1"/>
  <c r="C223" i="45"/>
  <c r="D222" i="45"/>
  <c r="F222" i="45" s="1"/>
  <c r="C222" i="45"/>
  <c r="D221" i="45"/>
  <c r="B221" i="45"/>
  <c r="A221" i="45"/>
  <c r="D220" i="45"/>
  <c r="F220" i="45" s="1"/>
  <c r="C220" i="45"/>
  <c r="D219" i="45"/>
  <c r="F219" i="45" s="1"/>
  <c r="C219" i="45"/>
  <c r="D218" i="45"/>
  <c r="F218" i="45" s="1"/>
  <c r="C218" i="45"/>
  <c r="D217" i="45"/>
  <c r="F217" i="45" s="1"/>
  <c r="C217" i="45"/>
  <c r="D216" i="45"/>
  <c r="F216" i="45" s="1"/>
  <c r="C216" i="45"/>
  <c r="D215" i="45"/>
  <c r="F215" i="45" s="1"/>
  <c r="C215" i="45"/>
  <c r="D214" i="45"/>
  <c r="F214" i="45" s="1"/>
  <c r="C214" i="45"/>
  <c r="D213" i="45"/>
  <c r="F213" i="45" s="1"/>
  <c r="C213" i="45"/>
  <c r="D212" i="45"/>
  <c r="F212" i="45" s="1"/>
  <c r="C212" i="45"/>
  <c r="D211" i="45"/>
  <c r="F211" i="45" s="1"/>
  <c r="C211" i="45"/>
  <c r="D210" i="45"/>
  <c r="F210" i="45" s="1"/>
  <c r="C210" i="45"/>
  <c r="D209" i="45"/>
  <c r="B209" i="45"/>
  <c r="A209" i="45"/>
  <c r="B208" i="45"/>
  <c r="A208" i="45"/>
  <c r="B207" i="45"/>
  <c r="A207" i="45"/>
  <c r="B206" i="45"/>
  <c r="A206" i="45"/>
  <c r="B205" i="45"/>
  <c r="A205" i="45"/>
  <c r="D204" i="45"/>
  <c r="F204" i="45" s="1"/>
  <c r="C204" i="45"/>
  <c r="D203" i="45"/>
  <c r="F203" i="45" s="1"/>
  <c r="C203" i="45"/>
  <c r="D202" i="45"/>
  <c r="F202" i="45" s="1"/>
  <c r="C202" i="45"/>
  <c r="D201" i="45"/>
  <c r="F201" i="45" s="1"/>
  <c r="C201" i="45"/>
  <c r="D200" i="45"/>
  <c r="F200" i="45" s="1"/>
  <c r="C200" i="45"/>
  <c r="D199" i="45"/>
  <c r="F199" i="45" s="1"/>
  <c r="C199" i="45"/>
  <c r="D198" i="45"/>
  <c r="F198" i="45" s="1"/>
  <c r="C198" i="45"/>
  <c r="D197" i="45"/>
  <c r="F197" i="45" s="1"/>
  <c r="C197" i="45"/>
  <c r="D196" i="45"/>
  <c r="F196" i="45" s="1"/>
  <c r="C196" i="45"/>
  <c r="D195" i="45"/>
  <c r="F195" i="45" s="1"/>
  <c r="C195" i="45"/>
  <c r="D194" i="45"/>
  <c r="F194" i="45" s="1"/>
  <c r="C194" i="45"/>
  <c r="D193" i="45"/>
  <c r="B193" i="45"/>
  <c r="A193" i="45"/>
  <c r="D192" i="45"/>
  <c r="F192" i="45" s="1"/>
  <c r="C192" i="45"/>
  <c r="D191" i="45"/>
  <c r="F191" i="45" s="1"/>
  <c r="C191" i="45"/>
  <c r="D190" i="45"/>
  <c r="F190" i="45" s="1"/>
  <c r="C190" i="45"/>
  <c r="D189" i="45"/>
  <c r="F189" i="45" s="1"/>
  <c r="C189" i="45"/>
  <c r="D188" i="45"/>
  <c r="F188" i="45" s="1"/>
  <c r="C188" i="45"/>
  <c r="D187" i="45"/>
  <c r="F187" i="45" s="1"/>
  <c r="C187" i="45"/>
  <c r="D186" i="45"/>
  <c r="F186" i="45" s="1"/>
  <c r="C186" i="45"/>
  <c r="D185" i="45"/>
  <c r="F185" i="45" s="1"/>
  <c r="C185" i="45"/>
  <c r="D184" i="45"/>
  <c r="F184" i="45" s="1"/>
  <c r="C184" i="45"/>
  <c r="D183" i="45"/>
  <c r="F183" i="45" s="1"/>
  <c r="C183" i="45"/>
  <c r="D182" i="45"/>
  <c r="F182" i="45" s="1"/>
  <c r="C182" i="45"/>
  <c r="D181" i="45"/>
  <c r="B181" i="45"/>
  <c r="A181" i="45"/>
  <c r="D180" i="45"/>
  <c r="F180" i="45" s="1"/>
  <c r="C180" i="45"/>
  <c r="D179" i="45"/>
  <c r="F179" i="45" s="1"/>
  <c r="C179" i="45"/>
  <c r="D178" i="45"/>
  <c r="F178" i="45" s="1"/>
  <c r="C178" i="45"/>
  <c r="D177" i="45"/>
  <c r="F177" i="45" s="1"/>
  <c r="C177" i="45"/>
  <c r="D176" i="45"/>
  <c r="F176" i="45" s="1"/>
  <c r="C176" i="45"/>
  <c r="D175" i="45"/>
  <c r="F175" i="45" s="1"/>
  <c r="C175" i="45"/>
  <c r="D174" i="45"/>
  <c r="F174" i="45" s="1"/>
  <c r="C174" i="45"/>
  <c r="D173" i="45"/>
  <c r="F173" i="45" s="1"/>
  <c r="C173" i="45"/>
  <c r="D172" i="45"/>
  <c r="F172" i="45" s="1"/>
  <c r="C172" i="45"/>
  <c r="D171" i="45"/>
  <c r="F171" i="45" s="1"/>
  <c r="C171" i="45"/>
  <c r="D170" i="45"/>
  <c r="F170" i="45" s="1"/>
  <c r="C170" i="45"/>
  <c r="D169" i="45"/>
  <c r="B169" i="45"/>
  <c r="A169" i="45"/>
  <c r="B168" i="45"/>
  <c r="A168" i="45"/>
  <c r="B167" i="45"/>
  <c r="A167" i="45"/>
  <c r="B166" i="45"/>
  <c r="A166" i="45"/>
  <c r="D165" i="45"/>
  <c r="F165" i="45" s="1"/>
  <c r="C165" i="45"/>
  <c r="D164" i="45"/>
  <c r="F164" i="45" s="1"/>
  <c r="C164" i="45"/>
  <c r="D163" i="45"/>
  <c r="F163" i="45" s="1"/>
  <c r="C163" i="45"/>
  <c r="D162" i="45"/>
  <c r="F162" i="45" s="1"/>
  <c r="C162" i="45"/>
  <c r="D161" i="45"/>
  <c r="F161" i="45" s="1"/>
  <c r="C161" i="45"/>
  <c r="D160" i="45"/>
  <c r="F160" i="45" s="1"/>
  <c r="C160" i="45"/>
  <c r="D159" i="45"/>
  <c r="F159" i="45" s="1"/>
  <c r="C159" i="45"/>
  <c r="D158" i="45"/>
  <c r="F158" i="45" s="1"/>
  <c r="C158" i="45"/>
  <c r="D157" i="45"/>
  <c r="F157" i="45" s="1"/>
  <c r="C157" i="45"/>
  <c r="D156" i="45"/>
  <c r="F156" i="45" s="1"/>
  <c r="C156" i="45"/>
  <c r="D155" i="45"/>
  <c r="F155" i="45" s="1"/>
  <c r="C155" i="45"/>
  <c r="D154" i="45"/>
  <c r="B154" i="45"/>
  <c r="A154" i="45"/>
  <c r="B153" i="45"/>
  <c r="A153" i="45"/>
  <c r="B152" i="45"/>
  <c r="A152" i="45"/>
  <c r="D151" i="45"/>
  <c r="F151" i="45" s="1"/>
  <c r="C151" i="45"/>
  <c r="D150" i="45"/>
  <c r="F150" i="45" s="1"/>
  <c r="C150" i="45"/>
  <c r="D149" i="45"/>
  <c r="F149" i="45" s="1"/>
  <c r="C149" i="45"/>
  <c r="D148" i="45"/>
  <c r="F148" i="45" s="1"/>
  <c r="C148" i="45"/>
  <c r="D147" i="45"/>
  <c r="F147" i="45" s="1"/>
  <c r="C147" i="45"/>
  <c r="D146" i="45"/>
  <c r="F146" i="45" s="1"/>
  <c r="C146" i="45"/>
  <c r="D145" i="45"/>
  <c r="F145" i="45" s="1"/>
  <c r="C145" i="45"/>
  <c r="D144" i="45"/>
  <c r="F144" i="45" s="1"/>
  <c r="C144" i="45"/>
  <c r="D143" i="45"/>
  <c r="F143" i="45" s="1"/>
  <c r="C143" i="45"/>
  <c r="D142" i="45"/>
  <c r="F142" i="45" s="1"/>
  <c r="C142" i="45"/>
  <c r="D141" i="45"/>
  <c r="F141" i="45" s="1"/>
  <c r="C141" i="45"/>
  <c r="D140" i="45"/>
  <c r="B140" i="45"/>
  <c r="A140" i="45"/>
  <c r="B139" i="45"/>
  <c r="A139" i="45"/>
  <c r="D138" i="45"/>
  <c r="F138" i="45" s="1"/>
  <c r="C138" i="45"/>
  <c r="D137" i="45"/>
  <c r="F137" i="45" s="1"/>
  <c r="C137" i="45"/>
  <c r="D136" i="45"/>
  <c r="F136" i="45" s="1"/>
  <c r="C136" i="45"/>
  <c r="D135" i="45"/>
  <c r="F135" i="45" s="1"/>
  <c r="C135" i="45"/>
  <c r="D134" i="45"/>
  <c r="F134" i="45" s="1"/>
  <c r="C134" i="45"/>
  <c r="D133" i="45"/>
  <c r="F133" i="45" s="1"/>
  <c r="C133" i="45"/>
  <c r="D132" i="45"/>
  <c r="F132" i="45" s="1"/>
  <c r="C132" i="45"/>
  <c r="D131" i="45"/>
  <c r="F131" i="45" s="1"/>
  <c r="C131" i="45"/>
  <c r="D130" i="45"/>
  <c r="F130" i="45" s="1"/>
  <c r="C130" i="45"/>
  <c r="D129" i="45"/>
  <c r="F129" i="45" s="1"/>
  <c r="C129" i="45"/>
  <c r="D128" i="45"/>
  <c r="F128" i="45" s="1"/>
  <c r="C128" i="45"/>
  <c r="D127" i="45"/>
  <c r="B127" i="45"/>
  <c r="A127" i="45"/>
  <c r="D126" i="45"/>
  <c r="F126" i="45" s="1"/>
  <c r="C126" i="45"/>
  <c r="D125" i="45"/>
  <c r="F125" i="45" s="1"/>
  <c r="C125" i="45"/>
  <c r="D124" i="45"/>
  <c r="F124" i="45" s="1"/>
  <c r="C124" i="45"/>
  <c r="D123" i="45"/>
  <c r="F123" i="45" s="1"/>
  <c r="C123" i="45"/>
  <c r="D122" i="45"/>
  <c r="F122" i="45" s="1"/>
  <c r="C122" i="45"/>
  <c r="D121" i="45"/>
  <c r="F121" i="45" s="1"/>
  <c r="C121" i="45"/>
  <c r="D120" i="45"/>
  <c r="F120" i="45" s="1"/>
  <c r="C120" i="45"/>
  <c r="D119" i="45"/>
  <c r="F119" i="45" s="1"/>
  <c r="C119" i="45"/>
  <c r="D118" i="45"/>
  <c r="F118" i="45" s="1"/>
  <c r="C118" i="45"/>
  <c r="D117" i="45"/>
  <c r="F117" i="45" s="1"/>
  <c r="C117" i="45"/>
  <c r="D116" i="45"/>
  <c r="F116" i="45" s="1"/>
  <c r="C116" i="45"/>
  <c r="D115" i="45"/>
  <c r="B115" i="45"/>
  <c r="A115" i="45"/>
  <c r="B114" i="45"/>
  <c r="A114" i="45"/>
  <c r="B113" i="45"/>
  <c r="A113" i="45"/>
  <c r="B112" i="45"/>
  <c r="A112" i="45"/>
  <c r="B111" i="45"/>
  <c r="A111" i="45"/>
  <c r="B110" i="45"/>
  <c r="A110" i="45"/>
  <c r="B109" i="45"/>
  <c r="A109" i="45"/>
  <c r="B108" i="45"/>
  <c r="A108" i="45"/>
  <c r="B107" i="45"/>
  <c r="A107" i="45"/>
  <c r="B106" i="45"/>
  <c r="A106" i="45"/>
  <c r="B105" i="45"/>
  <c r="A105" i="45"/>
  <c r="B104" i="45"/>
  <c r="A104" i="45"/>
  <c r="B103" i="45"/>
  <c r="A103" i="45"/>
  <c r="B102" i="45"/>
  <c r="A102" i="45"/>
  <c r="B101" i="45"/>
  <c r="A101" i="45"/>
  <c r="B100" i="45"/>
  <c r="A100" i="45"/>
  <c r="B99" i="45"/>
  <c r="A99" i="45"/>
  <c r="B98" i="45"/>
  <c r="A98" i="45"/>
  <c r="B97" i="45"/>
  <c r="A97" i="45"/>
  <c r="B96" i="45"/>
  <c r="A96" i="45"/>
  <c r="B95" i="45"/>
  <c r="A95" i="45"/>
  <c r="B94" i="45"/>
  <c r="A94" i="45"/>
  <c r="B93" i="45"/>
  <c r="A93" i="45"/>
  <c r="D92" i="45"/>
  <c r="F92" i="45" s="1"/>
  <c r="C92" i="45"/>
  <c r="D91" i="45"/>
  <c r="F91" i="45" s="1"/>
  <c r="C91" i="45"/>
  <c r="D90" i="45"/>
  <c r="F90" i="45" s="1"/>
  <c r="C90" i="45"/>
  <c r="D89" i="45"/>
  <c r="F89" i="45" s="1"/>
  <c r="C89" i="45"/>
  <c r="D88" i="45"/>
  <c r="F88" i="45" s="1"/>
  <c r="C88" i="45"/>
  <c r="D87" i="45"/>
  <c r="F87" i="45" s="1"/>
  <c r="C87" i="45"/>
  <c r="D86" i="45"/>
  <c r="F86" i="45" s="1"/>
  <c r="C86" i="45"/>
  <c r="D85" i="45"/>
  <c r="F85" i="45" s="1"/>
  <c r="C85" i="45"/>
  <c r="D84" i="45"/>
  <c r="F84" i="45" s="1"/>
  <c r="C84" i="45"/>
  <c r="D83" i="45"/>
  <c r="F83" i="45" s="1"/>
  <c r="C83" i="45"/>
  <c r="D82" i="45"/>
  <c r="F82" i="45" s="1"/>
  <c r="C82" i="45"/>
  <c r="D81" i="45"/>
  <c r="B81" i="45"/>
  <c r="A81" i="45"/>
  <c r="B80" i="45"/>
  <c r="A80" i="45"/>
  <c r="D79" i="45"/>
  <c r="F79" i="45" s="1"/>
  <c r="C79" i="45"/>
  <c r="D78" i="45"/>
  <c r="F78" i="45" s="1"/>
  <c r="C78" i="45"/>
  <c r="D77" i="45"/>
  <c r="F77" i="45" s="1"/>
  <c r="C77" i="45"/>
  <c r="D76" i="45"/>
  <c r="F76" i="45" s="1"/>
  <c r="C76" i="45"/>
  <c r="D75" i="45"/>
  <c r="F75" i="45" s="1"/>
  <c r="C75" i="45"/>
  <c r="D74" i="45"/>
  <c r="F74" i="45" s="1"/>
  <c r="C74" i="45"/>
  <c r="D73" i="45"/>
  <c r="F73" i="45" s="1"/>
  <c r="C73" i="45"/>
  <c r="D72" i="45"/>
  <c r="F72" i="45" s="1"/>
  <c r="C72" i="45"/>
  <c r="D71" i="45"/>
  <c r="F71" i="45" s="1"/>
  <c r="C71" i="45"/>
  <c r="D70" i="45"/>
  <c r="F70" i="45" s="1"/>
  <c r="C70" i="45"/>
  <c r="D69" i="45"/>
  <c r="F69" i="45" s="1"/>
  <c r="C69" i="45"/>
  <c r="D68" i="45"/>
  <c r="B68" i="45"/>
  <c r="A68" i="45"/>
  <c r="D67" i="45"/>
  <c r="F67" i="45" s="1"/>
  <c r="C67" i="45"/>
  <c r="D66" i="45"/>
  <c r="F66" i="45" s="1"/>
  <c r="C66" i="45"/>
  <c r="D65" i="45"/>
  <c r="F65" i="45" s="1"/>
  <c r="C65" i="45"/>
  <c r="D64" i="45"/>
  <c r="F64" i="45" s="1"/>
  <c r="C64" i="45"/>
  <c r="D63" i="45"/>
  <c r="F63" i="45" s="1"/>
  <c r="C63" i="45"/>
  <c r="D62" i="45"/>
  <c r="F62" i="45" s="1"/>
  <c r="C62" i="45"/>
  <c r="D61" i="45"/>
  <c r="F61" i="45" s="1"/>
  <c r="C61" i="45"/>
  <c r="D60" i="45"/>
  <c r="F60" i="45" s="1"/>
  <c r="C60" i="45"/>
  <c r="D59" i="45"/>
  <c r="F59" i="45" s="1"/>
  <c r="C59" i="45"/>
  <c r="D58" i="45"/>
  <c r="F58" i="45" s="1"/>
  <c r="C58" i="45"/>
  <c r="D57" i="45"/>
  <c r="F57" i="45" s="1"/>
  <c r="C57" i="45"/>
  <c r="D56" i="45"/>
  <c r="B56" i="45"/>
  <c r="A56" i="45"/>
  <c r="D55" i="45"/>
  <c r="F55" i="45" s="1"/>
  <c r="C55" i="45"/>
  <c r="D54" i="45"/>
  <c r="F54" i="45" s="1"/>
  <c r="C54" i="45"/>
  <c r="D53" i="45"/>
  <c r="F53" i="45" s="1"/>
  <c r="C53" i="45"/>
  <c r="D52" i="45"/>
  <c r="F52" i="45" s="1"/>
  <c r="C52" i="45"/>
  <c r="D51" i="45"/>
  <c r="F51" i="45" s="1"/>
  <c r="C51" i="45"/>
  <c r="D50" i="45"/>
  <c r="F50" i="45" s="1"/>
  <c r="C50" i="45"/>
  <c r="D49" i="45"/>
  <c r="F49" i="45" s="1"/>
  <c r="C49" i="45"/>
  <c r="D48" i="45"/>
  <c r="F48" i="45" s="1"/>
  <c r="C48" i="45"/>
  <c r="D47" i="45"/>
  <c r="F47" i="45" s="1"/>
  <c r="C47" i="45"/>
  <c r="D46" i="45"/>
  <c r="F46" i="45" s="1"/>
  <c r="C46" i="45"/>
  <c r="D45" i="45"/>
  <c r="F45" i="45" s="1"/>
  <c r="C45" i="45"/>
  <c r="D44" i="45"/>
  <c r="B44" i="45"/>
  <c r="A44" i="45"/>
  <c r="D43" i="45"/>
  <c r="F43" i="45" s="1"/>
  <c r="C43" i="45"/>
  <c r="D42" i="45"/>
  <c r="F42" i="45" s="1"/>
  <c r="C42" i="45"/>
  <c r="D41" i="45"/>
  <c r="F41" i="45" s="1"/>
  <c r="C41" i="45"/>
  <c r="D40" i="45"/>
  <c r="F40" i="45" s="1"/>
  <c r="C40" i="45"/>
  <c r="D39" i="45"/>
  <c r="F39" i="45" s="1"/>
  <c r="C39" i="45"/>
  <c r="D38" i="45"/>
  <c r="F38" i="45" s="1"/>
  <c r="C38" i="45"/>
  <c r="D37" i="45"/>
  <c r="F37" i="45" s="1"/>
  <c r="C37" i="45"/>
  <c r="D36" i="45"/>
  <c r="F36" i="45" s="1"/>
  <c r="C36" i="45"/>
  <c r="D35" i="45"/>
  <c r="F35" i="45" s="1"/>
  <c r="C35" i="45"/>
  <c r="D34" i="45"/>
  <c r="F34" i="45" s="1"/>
  <c r="C34" i="45"/>
  <c r="D33" i="45"/>
  <c r="F33" i="45" s="1"/>
  <c r="C33" i="45"/>
  <c r="D32" i="45"/>
  <c r="B32" i="45"/>
  <c r="A32" i="45"/>
  <c r="B31" i="45"/>
  <c r="A31" i="45"/>
  <c r="B30" i="45"/>
  <c r="A30" i="45"/>
  <c r="D29" i="45"/>
  <c r="F29" i="45" s="1"/>
  <c r="C29" i="45"/>
  <c r="D28" i="45"/>
  <c r="F28" i="45" s="1"/>
  <c r="C28" i="45"/>
  <c r="D27" i="45"/>
  <c r="F27" i="45" s="1"/>
  <c r="C27" i="45"/>
  <c r="D26" i="45"/>
  <c r="F26" i="45" s="1"/>
  <c r="C26" i="45"/>
  <c r="D25" i="45"/>
  <c r="F25" i="45" s="1"/>
  <c r="C25" i="45"/>
  <c r="D24" i="45"/>
  <c r="F24" i="45" s="1"/>
  <c r="C24" i="45"/>
  <c r="D23" i="45"/>
  <c r="F23" i="45" s="1"/>
  <c r="C23" i="45"/>
  <c r="D22" i="45"/>
  <c r="F22" i="45" s="1"/>
  <c r="C22" i="45"/>
  <c r="D21" i="45"/>
  <c r="F21" i="45" s="1"/>
  <c r="C21" i="45"/>
  <c r="D20" i="45"/>
  <c r="F20" i="45" s="1"/>
  <c r="C20" i="45"/>
  <c r="D19" i="45"/>
  <c r="F19" i="45" s="1"/>
  <c r="C19" i="45"/>
  <c r="D18" i="45"/>
  <c r="B18" i="45"/>
  <c r="A18" i="45"/>
  <c r="D17" i="45"/>
  <c r="F17" i="45" s="1"/>
  <c r="C17" i="45"/>
  <c r="D16" i="45"/>
  <c r="F16" i="45" s="1"/>
  <c r="C16" i="45"/>
  <c r="D15" i="45"/>
  <c r="F15" i="45" s="1"/>
  <c r="C15" i="45"/>
  <c r="D14" i="45"/>
  <c r="F14" i="45" s="1"/>
  <c r="C14" i="45"/>
  <c r="D13" i="45"/>
  <c r="F13" i="45" s="1"/>
  <c r="C13" i="45"/>
  <c r="D12" i="45"/>
  <c r="F12" i="45" s="1"/>
  <c r="C12" i="45"/>
  <c r="D11" i="45"/>
  <c r="F11" i="45" s="1"/>
  <c r="C11" i="45"/>
  <c r="D10" i="45"/>
  <c r="F10" i="45" s="1"/>
  <c r="C10" i="45"/>
  <c r="D9" i="45"/>
  <c r="F9" i="45" s="1"/>
  <c r="C9" i="45"/>
  <c r="D8" i="45"/>
  <c r="F8" i="45" s="1"/>
  <c r="C8" i="45"/>
  <c r="D7" i="45"/>
  <c r="F7" i="45" s="1"/>
  <c r="C7" i="45"/>
  <c r="D6" i="45"/>
  <c r="B6" i="45"/>
  <c r="A6" i="45"/>
  <c r="B5" i="45"/>
  <c r="A5" i="45"/>
  <c r="D995" i="22"/>
  <c r="D996" i="22"/>
  <c r="D997" i="22"/>
  <c r="D998" i="22"/>
  <c r="E999" i="22"/>
  <c r="F999" i="22"/>
  <c r="D999" i="22"/>
  <c r="C999" i="22"/>
  <c r="F998" i="22"/>
  <c r="E998" i="22"/>
  <c r="C998" i="22"/>
  <c r="G997" i="22"/>
  <c r="I997" i="22" s="1"/>
  <c r="F997" i="22"/>
  <c r="E997" i="22"/>
  <c r="C997" i="22"/>
  <c r="F996" i="22"/>
  <c r="E996" i="22"/>
  <c r="C996" i="22"/>
  <c r="G995" i="22"/>
  <c r="I995" i="22" s="1"/>
  <c r="F995" i="22"/>
  <c r="E995" i="22"/>
  <c r="C995" i="22"/>
  <c r="B994" i="22"/>
  <c r="A994" i="22"/>
  <c r="G993" i="22"/>
  <c r="D989" i="22"/>
  <c r="D990" i="22"/>
  <c r="D991" i="22"/>
  <c r="D992" i="22"/>
  <c r="E993" i="22"/>
  <c r="F993" i="22"/>
  <c r="D993" i="22"/>
  <c r="C993" i="22"/>
  <c r="G992" i="22"/>
  <c r="I992" i="22" s="1"/>
  <c r="F992" i="22"/>
  <c r="E992" i="22"/>
  <c r="C992" i="22"/>
  <c r="F991" i="22"/>
  <c r="E991" i="22"/>
  <c r="C991" i="22"/>
  <c r="F990" i="22"/>
  <c r="E990" i="22"/>
  <c r="C990" i="22"/>
  <c r="G989" i="22"/>
  <c r="I989" i="22" s="1"/>
  <c r="F989" i="22"/>
  <c r="E989" i="22"/>
  <c r="C989" i="22"/>
  <c r="B988" i="22"/>
  <c r="A988" i="22"/>
  <c r="D983" i="22"/>
  <c r="D984" i="22"/>
  <c r="D985" i="22"/>
  <c r="D986" i="22"/>
  <c r="E987" i="22"/>
  <c r="F987" i="22"/>
  <c r="D987" i="22"/>
  <c r="C987" i="22"/>
  <c r="F986" i="22"/>
  <c r="E986" i="22"/>
  <c r="C986" i="22"/>
  <c r="F985" i="22"/>
  <c r="E985" i="22"/>
  <c r="C985" i="22"/>
  <c r="F984" i="22"/>
  <c r="E984" i="22"/>
  <c r="C984" i="22"/>
  <c r="G983" i="22"/>
  <c r="I983" i="22" s="1"/>
  <c r="F983" i="22"/>
  <c r="E983" i="22"/>
  <c r="C983" i="22"/>
  <c r="B982" i="22"/>
  <c r="A982" i="22"/>
  <c r="B981" i="22"/>
  <c r="A981" i="22"/>
  <c r="D976" i="22"/>
  <c r="D977" i="22"/>
  <c r="D978" i="22"/>
  <c r="H980" i="22" s="1"/>
  <c r="D979" i="22"/>
  <c r="E980" i="22"/>
  <c r="F980" i="22"/>
  <c r="D980" i="22"/>
  <c r="C980" i="22"/>
  <c r="F979" i="22"/>
  <c r="E979" i="22"/>
  <c r="C979" i="22"/>
  <c r="F978" i="22"/>
  <c r="E978" i="22"/>
  <c r="C978" i="22"/>
  <c r="F977" i="22"/>
  <c r="E977" i="22"/>
  <c r="C977" i="22"/>
  <c r="G976" i="22"/>
  <c r="I976" i="22" s="1"/>
  <c r="F976" i="22"/>
  <c r="E976" i="22"/>
  <c r="C976" i="22"/>
  <c r="B975" i="22"/>
  <c r="A975" i="22"/>
  <c r="D970" i="22"/>
  <c r="D971" i="22"/>
  <c r="D972" i="22"/>
  <c r="D973" i="22"/>
  <c r="E974" i="22"/>
  <c r="F974" i="22"/>
  <c r="D974" i="22"/>
  <c r="C974" i="22"/>
  <c r="F973" i="22"/>
  <c r="E973" i="22"/>
  <c r="C973" i="22"/>
  <c r="F972" i="22"/>
  <c r="E972" i="22"/>
  <c r="C972" i="22"/>
  <c r="F971" i="22"/>
  <c r="E971" i="22"/>
  <c r="C971" i="22"/>
  <c r="G970" i="22"/>
  <c r="I970" i="22" s="1"/>
  <c r="F970" i="22"/>
  <c r="E970" i="22"/>
  <c r="C970" i="22"/>
  <c r="B969" i="22"/>
  <c r="A969" i="22"/>
  <c r="G968" i="22"/>
  <c r="D964" i="22"/>
  <c r="D965" i="22"/>
  <c r="D966" i="22"/>
  <c r="D967" i="22"/>
  <c r="E968" i="22"/>
  <c r="F968" i="22"/>
  <c r="D968" i="22"/>
  <c r="C968" i="22"/>
  <c r="F967" i="22"/>
  <c r="E967" i="22"/>
  <c r="C967" i="22"/>
  <c r="F966" i="22"/>
  <c r="E966" i="22"/>
  <c r="C966" i="22"/>
  <c r="F965" i="22"/>
  <c r="E965" i="22"/>
  <c r="C965" i="22"/>
  <c r="G964" i="22"/>
  <c r="I964" i="22" s="1"/>
  <c r="F964" i="22"/>
  <c r="E964" i="22"/>
  <c r="C964" i="22"/>
  <c r="B963" i="22"/>
  <c r="A963" i="22"/>
  <c r="D958" i="22"/>
  <c r="D959" i="22"/>
  <c r="D960" i="22"/>
  <c r="D961" i="22"/>
  <c r="E962" i="22"/>
  <c r="F962" i="22"/>
  <c r="D962" i="22"/>
  <c r="C962" i="22"/>
  <c r="F961" i="22"/>
  <c r="E961" i="22"/>
  <c r="C961" i="22"/>
  <c r="F960" i="22"/>
  <c r="E960" i="22"/>
  <c r="C960" i="22"/>
  <c r="F959" i="22"/>
  <c r="E959" i="22"/>
  <c r="C959" i="22"/>
  <c r="G958" i="22"/>
  <c r="I958" i="22" s="1"/>
  <c r="F958" i="22"/>
  <c r="E958" i="22"/>
  <c r="C958" i="22"/>
  <c r="B957" i="22"/>
  <c r="A957" i="22"/>
  <c r="G956" i="22"/>
  <c r="D952" i="22"/>
  <c r="D953" i="22"/>
  <c r="D954" i="22"/>
  <c r="D955" i="22"/>
  <c r="E956" i="22"/>
  <c r="F956" i="22"/>
  <c r="D956" i="22"/>
  <c r="C956" i="22"/>
  <c r="F955" i="22"/>
  <c r="E955" i="22"/>
  <c r="C955" i="22"/>
  <c r="F954" i="22"/>
  <c r="E954" i="22"/>
  <c r="C954" i="22"/>
  <c r="F953" i="22"/>
  <c r="E953" i="22"/>
  <c r="C953" i="22"/>
  <c r="G952" i="22"/>
  <c r="I952" i="22" s="1"/>
  <c r="F952" i="22"/>
  <c r="E952" i="22"/>
  <c r="C952" i="22"/>
  <c r="B951" i="22"/>
  <c r="A951" i="22"/>
  <c r="B950" i="22"/>
  <c r="A950" i="22"/>
  <c r="D945" i="22"/>
  <c r="D946" i="22"/>
  <c r="D947" i="22"/>
  <c r="D948" i="22"/>
  <c r="E949" i="22"/>
  <c r="F949" i="22"/>
  <c r="D949" i="22"/>
  <c r="C949" i="22"/>
  <c r="F948" i="22"/>
  <c r="E948" i="22"/>
  <c r="C948" i="22"/>
  <c r="F947" i="22"/>
  <c r="E947" i="22"/>
  <c r="C947" i="22"/>
  <c r="F946" i="22"/>
  <c r="E946" i="22"/>
  <c r="C946" i="22"/>
  <c r="G945" i="22"/>
  <c r="I945" i="22" s="1"/>
  <c r="F945" i="22"/>
  <c r="E945" i="22"/>
  <c r="C945" i="22"/>
  <c r="B944" i="22"/>
  <c r="A944" i="22"/>
  <c r="G943" i="22"/>
  <c r="D939" i="22"/>
  <c r="D940" i="22"/>
  <c r="D941" i="22"/>
  <c r="D942" i="22"/>
  <c r="E943" i="22"/>
  <c r="F943" i="22"/>
  <c r="D943" i="22"/>
  <c r="C943" i="22"/>
  <c r="F942" i="22"/>
  <c r="E942" i="22"/>
  <c r="C942" i="22"/>
  <c r="F941" i="22"/>
  <c r="E941" i="22"/>
  <c r="C941" i="22"/>
  <c r="F940" i="22"/>
  <c r="E940" i="22"/>
  <c r="C940" i="22"/>
  <c r="G939" i="22"/>
  <c r="I939" i="22" s="1"/>
  <c r="F939" i="22"/>
  <c r="E939" i="22"/>
  <c r="C939" i="22"/>
  <c r="B938" i="22"/>
  <c r="A938" i="22"/>
  <c r="D933" i="22"/>
  <c r="D934" i="22"/>
  <c r="D935" i="22"/>
  <c r="D936" i="22"/>
  <c r="E937" i="22"/>
  <c r="F937" i="22"/>
  <c r="D937" i="22"/>
  <c r="C937" i="22"/>
  <c r="F936" i="22"/>
  <c r="E936" i="22"/>
  <c r="C936" i="22"/>
  <c r="F935" i="22"/>
  <c r="E935" i="22"/>
  <c r="C935" i="22"/>
  <c r="F934" i="22"/>
  <c r="E934" i="22"/>
  <c r="C934" i="22"/>
  <c r="G933" i="22"/>
  <c r="I933" i="22" s="1"/>
  <c r="F933" i="22"/>
  <c r="E933" i="22"/>
  <c r="C933" i="22"/>
  <c r="B932" i="22"/>
  <c r="A932" i="22"/>
  <c r="D927" i="22"/>
  <c r="D928" i="22"/>
  <c r="D929" i="22"/>
  <c r="D930" i="22"/>
  <c r="E931" i="22"/>
  <c r="F931" i="22"/>
  <c r="D931" i="22"/>
  <c r="C931" i="22"/>
  <c r="F930" i="22"/>
  <c r="E930" i="22"/>
  <c r="C930" i="22"/>
  <c r="F929" i="22"/>
  <c r="E929" i="22"/>
  <c r="C929" i="22"/>
  <c r="F928" i="22"/>
  <c r="E928" i="22"/>
  <c r="C928" i="22"/>
  <c r="G927" i="22"/>
  <c r="I927" i="22" s="1"/>
  <c r="F927" i="22"/>
  <c r="E927" i="22"/>
  <c r="C927" i="22"/>
  <c r="B926" i="22"/>
  <c r="A926" i="22"/>
  <c r="G925" i="22"/>
  <c r="D921" i="22"/>
  <c r="D922" i="22"/>
  <c r="D923" i="22"/>
  <c r="D924" i="22"/>
  <c r="E925" i="22"/>
  <c r="F925" i="22"/>
  <c r="D925" i="22"/>
  <c r="C925" i="22"/>
  <c r="F924" i="22"/>
  <c r="E924" i="22"/>
  <c r="C924" i="22"/>
  <c r="F923" i="22"/>
  <c r="E923" i="22"/>
  <c r="C923" i="22"/>
  <c r="G922" i="22"/>
  <c r="I922" i="22" s="1"/>
  <c r="F922" i="22"/>
  <c r="E922" i="22"/>
  <c r="C922" i="22"/>
  <c r="G921" i="22"/>
  <c r="I921" i="22" s="1"/>
  <c r="F921" i="22"/>
  <c r="E921" i="22"/>
  <c r="C921" i="22"/>
  <c r="B920" i="22"/>
  <c r="A920" i="22"/>
  <c r="G919" i="22"/>
  <c r="D915" i="22"/>
  <c r="D916" i="22"/>
  <c r="D917" i="22"/>
  <c r="D918" i="22"/>
  <c r="E919" i="22"/>
  <c r="F919" i="22"/>
  <c r="D919" i="22"/>
  <c r="C919" i="22"/>
  <c r="F918" i="22"/>
  <c r="E918" i="22"/>
  <c r="C918" i="22"/>
  <c r="F917" i="22"/>
  <c r="E917" i="22"/>
  <c r="C917" i="22"/>
  <c r="F916" i="22"/>
  <c r="E916" i="22"/>
  <c r="C916" i="22"/>
  <c r="G915" i="22"/>
  <c r="I915" i="22" s="1"/>
  <c r="F915" i="22"/>
  <c r="E915" i="22"/>
  <c r="C915" i="22"/>
  <c r="B914" i="22"/>
  <c r="A914" i="22"/>
  <c r="D909" i="22"/>
  <c r="D910" i="22"/>
  <c r="D911" i="22"/>
  <c r="D912" i="22"/>
  <c r="E913" i="22"/>
  <c r="F913" i="22"/>
  <c r="D913" i="22"/>
  <c r="C913" i="22"/>
  <c r="F912" i="22"/>
  <c r="E912" i="22"/>
  <c r="C912" i="22"/>
  <c r="F911" i="22"/>
  <c r="E911" i="22"/>
  <c r="C911" i="22"/>
  <c r="F910" i="22"/>
  <c r="E910" i="22"/>
  <c r="C910" i="22"/>
  <c r="G909" i="22"/>
  <c r="I909" i="22" s="1"/>
  <c r="F909" i="22"/>
  <c r="E909" i="22"/>
  <c r="C909" i="22"/>
  <c r="B908" i="22"/>
  <c r="A908" i="22"/>
  <c r="G907" i="22"/>
  <c r="D903" i="22"/>
  <c r="D904" i="22"/>
  <c r="D905" i="22"/>
  <c r="D906" i="22"/>
  <c r="E907" i="22"/>
  <c r="F907" i="22"/>
  <c r="D907" i="22"/>
  <c r="C907" i="22"/>
  <c r="F906" i="22"/>
  <c r="E906" i="22"/>
  <c r="C906" i="22"/>
  <c r="F905" i="22"/>
  <c r="E905" i="22"/>
  <c r="C905" i="22"/>
  <c r="F904" i="22"/>
  <c r="E904" i="22"/>
  <c r="C904" i="22"/>
  <c r="G903" i="22"/>
  <c r="I903" i="22" s="1"/>
  <c r="F903" i="22"/>
  <c r="E903" i="22"/>
  <c r="C903" i="22"/>
  <c r="B902" i="22"/>
  <c r="A902" i="22"/>
  <c r="B901" i="22"/>
  <c r="A901" i="22"/>
  <c r="G900" i="22"/>
  <c r="D896" i="22"/>
  <c r="D897" i="22"/>
  <c r="D898" i="22"/>
  <c r="D899" i="22"/>
  <c r="E900" i="22"/>
  <c r="F900" i="22"/>
  <c r="D900" i="22"/>
  <c r="C900" i="22"/>
  <c r="F899" i="22"/>
  <c r="E899" i="22"/>
  <c r="C899" i="22"/>
  <c r="F898" i="22"/>
  <c r="E898" i="22"/>
  <c r="C898" i="22"/>
  <c r="F897" i="22"/>
  <c r="E897" i="22"/>
  <c r="C897" i="22"/>
  <c r="G896" i="22"/>
  <c r="I896" i="22" s="1"/>
  <c r="F896" i="22"/>
  <c r="E896" i="22"/>
  <c r="C896" i="22"/>
  <c r="B895" i="22"/>
  <c r="A895" i="22"/>
  <c r="B894" i="22"/>
  <c r="A894" i="22"/>
  <c r="B893" i="22"/>
  <c r="A893" i="22"/>
  <c r="D888" i="22"/>
  <c r="D889" i="22"/>
  <c r="D890" i="22"/>
  <c r="H892" i="22" s="1"/>
  <c r="D891" i="22"/>
  <c r="E892" i="22"/>
  <c r="F892" i="22"/>
  <c r="D892" i="22"/>
  <c r="C892" i="22"/>
  <c r="G891" i="22"/>
  <c r="I891" i="22" s="1"/>
  <c r="F891" i="22"/>
  <c r="E891" i="22"/>
  <c r="C891" i="22"/>
  <c r="F890" i="22"/>
  <c r="E890" i="22"/>
  <c r="C890" i="22"/>
  <c r="F889" i="22"/>
  <c r="E889" i="22"/>
  <c r="C889" i="22"/>
  <c r="G888" i="22"/>
  <c r="I888" i="22" s="1"/>
  <c r="F888" i="22"/>
  <c r="E888" i="22"/>
  <c r="C888" i="22"/>
  <c r="B887" i="22"/>
  <c r="A887" i="22"/>
  <c r="G886" i="22"/>
  <c r="D882" i="22"/>
  <c r="D883" i="22"/>
  <c r="D884" i="22"/>
  <c r="D885" i="22"/>
  <c r="E886" i="22"/>
  <c r="F886" i="22"/>
  <c r="D886" i="22"/>
  <c r="C886" i="22"/>
  <c r="G885" i="22"/>
  <c r="I885" i="22" s="1"/>
  <c r="F885" i="22"/>
  <c r="E885" i="22"/>
  <c r="C885" i="22"/>
  <c r="G884" i="22"/>
  <c r="I884" i="22" s="1"/>
  <c r="F884" i="22"/>
  <c r="E884" i="22"/>
  <c r="C884" i="22"/>
  <c r="F883" i="22"/>
  <c r="E883" i="22"/>
  <c r="C883" i="22"/>
  <c r="G882" i="22"/>
  <c r="I882" i="22" s="1"/>
  <c r="F882" i="22"/>
  <c r="E882" i="22"/>
  <c r="C882" i="22"/>
  <c r="B881" i="22"/>
  <c r="A881" i="22"/>
  <c r="D876" i="22"/>
  <c r="D877" i="22"/>
  <c r="D878" i="22"/>
  <c r="D879" i="22"/>
  <c r="E880" i="22"/>
  <c r="F880" i="22"/>
  <c r="D880" i="22"/>
  <c r="C880" i="22"/>
  <c r="G879" i="22"/>
  <c r="I879" i="22" s="1"/>
  <c r="F879" i="22"/>
  <c r="E879" i="22"/>
  <c r="C879" i="22"/>
  <c r="G878" i="22"/>
  <c r="I878" i="22" s="1"/>
  <c r="F878" i="22"/>
  <c r="E878" i="22"/>
  <c r="C878" i="22"/>
  <c r="F877" i="22"/>
  <c r="E877" i="22"/>
  <c r="C877" i="22"/>
  <c r="G876" i="22"/>
  <c r="I876" i="22" s="1"/>
  <c r="F876" i="22"/>
  <c r="E876" i="22"/>
  <c r="C876" i="22"/>
  <c r="B875" i="22"/>
  <c r="A875" i="22"/>
  <c r="G874" i="22"/>
  <c r="D870" i="22"/>
  <c r="D871" i="22"/>
  <c r="D872" i="22"/>
  <c r="D873" i="22"/>
  <c r="E874" i="22"/>
  <c r="F874" i="22"/>
  <c r="D874" i="22"/>
  <c r="C874" i="22"/>
  <c r="F873" i="22"/>
  <c r="E873" i="22"/>
  <c r="C873" i="22"/>
  <c r="F872" i="22"/>
  <c r="E872" i="22"/>
  <c r="C872" i="22"/>
  <c r="F871" i="22"/>
  <c r="E871" i="22"/>
  <c r="C871" i="22"/>
  <c r="G870" i="22"/>
  <c r="I870" i="22" s="1"/>
  <c r="F870" i="22"/>
  <c r="E870" i="22"/>
  <c r="C870" i="22"/>
  <c r="B869" i="22"/>
  <c r="A869" i="22"/>
  <c r="D864" i="22"/>
  <c r="D865" i="22"/>
  <c r="D866" i="22"/>
  <c r="D867" i="22"/>
  <c r="E868" i="22"/>
  <c r="F868" i="22"/>
  <c r="D868" i="22"/>
  <c r="C868" i="22"/>
  <c r="G867" i="22"/>
  <c r="I867" i="22" s="1"/>
  <c r="F867" i="22"/>
  <c r="E867" i="22"/>
  <c r="C867" i="22"/>
  <c r="F866" i="22"/>
  <c r="E866" i="22"/>
  <c r="C866" i="22"/>
  <c r="F865" i="22"/>
  <c r="E865" i="22"/>
  <c r="C865" i="22"/>
  <c r="G864" i="22"/>
  <c r="I864" i="22" s="1"/>
  <c r="F864" i="22"/>
  <c r="E864" i="22"/>
  <c r="C864" i="22"/>
  <c r="B863" i="22"/>
  <c r="A863" i="22"/>
  <c r="D858" i="22"/>
  <c r="D859" i="22"/>
  <c r="D860" i="22"/>
  <c r="D861" i="22"/>
  <c r="E862" i="22"/>
  <c r="F862" i="22"/>
  <c r="D862" i="22"/>
  <c r="C862" i="22"/>
  <c r="F861" i="22"/>
  <c r="E861" i="22"/>
  <c r="C861" i="22"/>
  <c r="F860" i="22"/>
  <c r="E860" i="22"/>
  <c r="C860" i="22"/>
  <c r="F859" i="22"/>
  <c r="E859" i="22"/>
  <c r="C859" i="22"/>
  <c r="G858" i="22"/>
  <c r="I858" i="22" s="1"/>
  <c r="F858" i="22"/>
  <c r="E858" i="22"/>
  <c r="C858" i="22"/>
  <c r="B857" i="22"/>
  <c r="A857" i="22"/>
  <c r="B856" i="22"/>
  <c r="A856" i="22"/>
  <c r="G855" i="22"/>
  <c r="D851" i="22"/>
  <c r="D852" i="22"/>
  <c r="D853" i="22"/>
  <c r="D854" i="22"/>
  <c r="E855" i="22"/>
  <c r="F855" i="22"/>
  <c r="D855" i="22"/>
  <c r="C855" i="22"/>
  <c r="F854" i="22"/>
  <c r="E854" i="22"/>
  <c r="C854" i="22"/>
  <c r="F853" i="22"/>
  <c r="E853" i="22"/>
  <c r="C853" i="22"/>
  <c r="F852" i="22"/>
  <c r="E852" i="22"/>
  <c r="C852" i="22"/>
  <c r="G851" i="22"/>
  <c r="I851" i="22" s="1"/>
  <c r="F851" i="22"/>
  <c r="E851" i="22"/>
  <c r="C851" i="22"/>
  <c r="B850" i="22"/>
  <c r="A850" i="22"/>
  <c r="B849" i="22"/>
  <c r="A849" i="22"/>
  <c r="B848" i="22"/>
  <c r="A848" i="22"/>
  <c r="B847" i="22"/>
  <c r="A847" i="22"/>
  <c r="B846" i="22"/>
  <c r="A846" i="22"/>
  <c r="D841" i="22"/>
  <c r="D842" i="22"/>
  <c r="D843" i="22"/>
  <c r="D844" i="22"/>
  <c r="E845" i="22"/>
  <c r="F845" i="22"/>
  <c r="D845" i="22"/>
  <c r="C845" i="22"/>
  <c r="F844" i="22"/>
  <c r="E844" i="22"/>
  <c r="C844" i="22"/>
  <c r="F843" i="22"/>
  <c r="E843" i="22"/>
  <c r="C843" i="22"/>
  <c r="F842" i="22"/>
  <c r="E842" i="22"/>
  <c r="C842" i="22"/>
  <c r="G841" i="22"/>
  <c r="I841" i="22" s="1"/>
  <c r="F841" i="22"/>
  <c r="E841" i="22"/>
  <c r="C841" i="22"/>
  <c r="B840" i="22"/>
  <c r="A840" i="22"/>
  <c r="G839" i="22"/>
  <c r="D835" i="22"/>
  <c r="D836" i="22"/>
  <c r="D837" i="22"/>
  <c r="D838" i="22"/>
  <c r="E839" i="22"/>
  <c r="F839" i="22"/>
  <c r="D839" i="22"/>
  <c r="C839" i="22"/>
  <c r="F838" i="22"/>
  <c r="E838" i="22"/>
  <c r="C838" i="22"/>
  <c r="F837" i="22"/>
  <c r="E837" i="22"/>
  <c r="C837" i="22"/>
  <c r="F836" i="22"/>
  <c r="E836" i="22"/>
  <c r="C836" i="22"/>
  <c r="G835" i="22"/>
  <c r="I835" i="22" s="1"/>
  <c r="F835" i="22"/>
  <c r="E835" i="22"/>
  <c r="C835" i="22"/>
  <c r="B834" i="22"/>
  <c r="A834" i="22"/>
  <c r="B833" i="22"/>
  <c r="A833" i="22"/>
  <c r="G832" i="22"/>
  <c r="D828" i="22"/>
  <c r="D829" i="22"/>
  <c r="D830" i="22"/>
  <c r="D831" i="22"/>
  <c r="E832" i="22"/>
  <c r="F832" i="22"/>
  <c r="D832" i="22"/>
  <c r="C832" i="22"/>
  <c r="F831" i="22"/>
  <c r="E831" i="22"/>
  <c r="C831" i="22"/>
  <c r="F830" i="22"/>
  <c r="E830" i="22"/>
  <c r="C830" i="22"/>
  <c r="F829" i="22"/>
  <c r="E829" i="22"/>
  <c r="C829" i="22"/>
  <c r="G828" i="22"/>
  <c r="I828" i="22" s="1"/>
  <c r="F828" i="22"/>
  <c r="E828" i="22"/>
  <c r="C828" i="22"/>
  <c r="B827" i="22"/>
  <c r="A827" i="22"/>
  <c r="D822" i="22"/>
  <c r="D823" i="22"/>
  <c r="D824" i="22"/>
  <c r="D825" i="22"/>
  <c r="E826" i="22"/>
  <c r="F826" i="22"/>
  <c r="D826" i="22"/>
  <c r="C826" i="22"/>
  <c r="F825" i="22"/>
  <c r="E825" i="22"/>
  <c r="C825" i="22"/>
  <c r="F824" i="22"/>
  <c r="E824" i="22"/>
  <c r="C824" i="22"/>
  <c r="F823" i="22"/>
  <c r="E823" i="22"/>
  <c r="C823" i="22"/>
  <c r="G822" i="22"/>
  <c r="I822" i="22" s="1"/>
  <c r="F822" i="22"/>
  <c r="E822" i="22"/>
  <c r="C822" i="22"/>
  <c r="B821" i="22"/>
  <c r="A821" i="22"/>
  <c r="B820" i="22"/>
  <c r="A820" i="22"/>
  <c r="B819" i="22"/>
  <c r="A819" i="22"/>
  <c r="B818" i="22"/>
  <c r="A818" i="22"/>
  <c r="B817" i="22"/>
  <c r="A817" i="22"/>
  <c r="B816" i="22"/>
  <c r="A816" i="22"/>
  <c r="B815" i="22"/>
  <c r="A815" i="22"/>
  <c r="B814" i="22"/>
  <c r="A814" i="22"/>
  <c r="G813" i="22"/>
  <c r="D809" i="22"/>
  <c r="D810" i="22"/>
  <c r="D811" i="22"/>
  <c r="D812" i="22"/>
  <c r="E813" i="22"/>
  <c r="F813" i="22"/>
  <c r="D813" i="22"/>
  <c r="C813" i="22"/>
  <c r="F812" i="22"/>
  <c r="E812" i="22"/>
  <c r="C812" i="22"/>
  <c r="G811" i="22"/>
  <c r="I811" i="22" s="1"/>
  <c r="F811" i="22"/>
  <c r="E811" i="22"/>
  <c r="C811" i="22"/>
  <c r="F810" i="22"/>
  <c r="E810" i="22"/>
  <c r="C810" i="22"/>
  <c r="G809" i="22"/>
  <c r="I809" i="22" s="1"/>
  <c r="F809" i="22"/>
  <c r="E809" i="22"/>
  <c r="C809" i="22"/>
  <c r="B808" i="22"/>
  <c r="A808" i="22"/>
  <c r="B807" i="22"/>
  <c r="A807" i="22"/>
  <c r="G806" i="22"/>
  <c r="D801" i="22"/>
  <c r="D802" i="22"/>
  <c r="D803" i="22"/>
  <c r="D804" i="22"/>
  <c r="D805" i="22"/>
  <c r="E806" i="22"/>
  <c r="F806" i="22"/>
  <c r="D806" i="22"/>
  <c r="C806" i="22"/>
  <c r="G805" i="22"/>
  <c r="I805" i="22" s="1"/>
  <c r="F805" i="22"/>
  <c r="E805" i="22"/>
  <c r="C805" i="22"/>
  <c r="F804" i="22"/>
  <c r="E804" i="22"/>
  <c r="C804" i="22"/>
  <c r="F803" i="22"/>
  <c r="E803" i="22"/>
  <c r="C803" i="22"/>
  <c r="F802" i="22"/>
  <c r="E802" i="22"/>
  <c r="C802" i="22"/>
  <c r="G801" i="22"/>
  <c r="I801" i="22" s="1"/>
  <c r="F801" i="22"/>
  <c r="E801" i="22"/>
  <c r="C801" i="22"/>
  <c r="B800" i="22"/>
  <c r="A800" i="22"/>
  <c r="D794" i="22"/>
  <c r="D795" i="22"/>
  <c r="D796" i="22"/>
  <c r="D797" i="22"/>
  <c r="D798" i="22"/>
  <c r="E799" i="22"/>
  <c r="F799" i="22"/>
  <c r="D799" i="22"/>
  <c r="C799" i="22"/>
  <c r="F798" i="22"/>
  <c r="E798" i="22"/>
  <c r="C798" i="22"/>
  <c r="F797" i="22"/>
  <c r="E797" i="22"/>
  <c r="C797" i="22"/>
  <c r="F796" i="22"/>
  <c r="E796" i="22"/>
  <c r="C796" i="22"/>
  <c r="F795" i="22"/>
  <c r="E795" i="22"/>
  <c r="C795" i="22"/>
  <c r="G794" i="22"/>
  <c r="I794" i="22" s="1"/>
  <c r="F794" i="22"/>
  <c r="E794" i="22"/>
  <c r="C794" i="22"/>
  <c r="B793" i="22"/>
  <c r="A793" i="22"/>
  <c r="B792" i="22"/>
  <c r="A792" i="22"/>
  <c r="B791" i="22"/>
  <c r="A791" i="22"/>
  <c r="B790" i="22"/>
  <c r="A790" i="22"/>
  <c r="D784" i="22"/>
  <c r="D785" i="22"/>
  <c r="D786" i="22"/>
  <c r="D787" i="22"/>
  <c r="D788" i="22"/>
  <c r="E789" i="22"/>
  <c r="F789" i="22"/>
  <c r="D789" i="22"/>
  <c r="C789" i="22"/>
  <c r="F788" i="22"/>
  <c r="E788" i="22"/>
  <c r="C788" i="22"/>
  <c r="F787" i="22"/>
  <c r="E787" i="22"/>
  <c r="C787" i="22"/>
  <c r="F786" i="22"/>
  <c r="E786" i="22"/>
  <c r="C786" i="22"/>
  <c r="G785" i="22"/>
  <c r="I785" i="22" s="1"/>
  <c r="F785" i="22"/>
  <c r="E785" i="22"/>
  <c r="C785" i="22"/>
  <c r="G784" i="22"/>
  <c r="I784" i="22" s="1"/>
  <c r="F784" i="22"/>
  <c r="E784" i="22"/>
  <c r="C784" i="22"/>
  <c r="B783" i="22"/>
  <c r="A783" i="22"/>
  <c r="D777" i="22"/>
  <c r="D778" i="22"/>
  <c r="D779" i="22"/>
  <c r="D780" i="22"/>
  <c r="D781" i="22"/>
  <c r="E782" i="22"/>
  <c r="F782" i="22"/>
  <c r="D782" i="22"/>
  <c r="C782" i="22"/>
  <c r="F781" i="22"/>
  <c r="E781" i="22"/>
  <c r="C781" i="22"/>
  <c r="F780" i="22"/>
  <c r="E780" i="22"/>
  <c r="C780" i="22"/>
  <c r="F779" i="22"/>
  <c r="E779" i="22"/>
  <c r="C779" i="22"/>
  <c r="F778" i="22"/>
  <c r="E778" i="22"/>
  <c r="C778" i="22"/>
  <c r="G777" i="22"/>
  <c r="I777" i="22" s="1"/>
  <c r="F777" i="22"/>
  <c r="E777" i="22"/>
  <c r="C777" i="22"/>
  <c r="B776" i="22"/>
  <c r="A776" i="22"/>
  <c r="B775" i="22"/>
  <c r="A775" i="22"/>
  <c r="B774" i="22"/>
  <c r="A774" i="22"/>
  <c r="B773" i="22"/>
  <c r="A773" i="22"/>
  <c r="D768" i="22"/>
  <c r="D769" i="22"/>
  <c r="D770" i="22"/>
  <c r="D771" i="22"/>
  <c r="E772" i="22"/>
  <c r="F772" i="22"/>
  <c r="D772" i="22"/>
  <c r="C772" i="22"/>
  <c r="F771" i="22"/>
  <c r="E771" i="22"/>
  <c r="C771" i="22"/>
  <c r="F770" i="22"/>
  <c r="E770" i="22"/>
  <c r="C770" i="22"/>
  <c r="F769" i="22"/>
  <c r="E769" i="22"/>
  <c r="C769" i="22"/>
  <c r="G768" i="22"/>
  <c r="I768" i="22" s="1"/>
  <c r="F768" i="22"/>
  <c r="E768" i="22"/>
  <c r="C768" i="22"/>
  <c r="B767" i="22"/>
  <c r="A767" i="22"/>
  <c r="G735" i="22"/>
  <c r="D731" i="22"/>
  <c r="D732" i="22"/>
  <c r="D733" i="22"/>
  <c r="D734" i="22"/>
  <c r="E735" i="22"/>
  <c r="F766" i="22"/>
  <c r="E766" i="22"/>
  <c r="D766" i="22"/>
  <c r="C766" i="22"/>
  <c r="G731" i="22"/>
  <c r="I731" i="22" s="1"/>
  <c r="B765" i="22"/>
  <c r="A765" i="22"/>
  <c r="G723" i="22"/>
  <c r="D719" i="22"/>
  <c r="D720" i="22"/>
  <c r="D721" i="22"/>
  <c r="D722" i="22"/>
  <c r="E723" i="22"/>
  <c r="F764" i="22"/>
  <c r="E764" i="22"/>
  <c r="D764" i="22"/>
  <c r="C764" i="22"/>
  <c r="G719" i="22"/>
  <c r="I719" i="22" s="1"/>
  <c r="G721" i="22"/>
  <c r="I721" i="22" s="1"/>
  <c r="B763" i="22"/>
  <c r="A763" i="22"/>
  <c r="D713" i="22"/>
  <c r="D714" i="22"/>
  <c r="D715" i="22"/>
  <c r="D716" i="22"/>
  <c r="E717" i="22"/>
  <c r="G762" i="22"/>
  <c r="F762" i="22"/>
  <c r="E762" i="22"/>
  <c r="D762" i="22"/>
  <c r="C762" i="22"/>
  <c r="G713" i="22"/>
  <c r="I713" i="22" s="1"/>
  <c r="B761" i="22"/>
  <c r="A761" i="22"/>
  <c r="B760" i="22"/>
  <c r="A760" i="22"/>
  <c r="G729" i="22"/>
  <c r="D725" i="22"/>
  <c r="D726" i="22"/>
  <c r="D727" i="22"/>
  <c r="D728" i="22"/>
  <c r="E729" i="22"/>
  <c r="F759" i="22"/>
  <c r="E759" i="22"/>
  <c r="D759" i="22"/>
  <c r="C759" i="22"/>
  <c r="G725" i="22"/>
  <c r="I725" i="22" s="1"/>
  <c r="B758" i="22"/>
  <c r="A758" i="22"/>
  <c r="D706" i="22"/>
  <c r="D707" i="22"/>
  <c r="D708" i="22"/>
  <c r="D709" i="22"/>
  <c r="E710" i="22"/>
  <c r="G757" i="22"/>
  <c r="F757" i="22"/>
  <c r="E757" i="22"/>
  <c r="D757" i="22"/>
  <c r="C757" i="22"/>
  <c r="G706" i="22"/>
  <c r="I706" i="22" s="1"/>
  <c r="B756" i="22"/>
  <c r="A756" i="22"/>
  <c r="D700" i="22"/>
  <c r="D701" i="22"/>
  <c r="D702" i="22"/>
  <c r="D703" i="22"/>
  <c r="E704" i="22"/>
  <c r="G755" i="22"/>
  <c r="F755" i="22"/>
  <c r="E755" i="22"/>
  <c r="D755" i="22"/>
  <c r="C755" i="22"/>
  <c r="G700" i="22"/>
  <c r="I700" i="22" s="1"/>
  <c r="G703" i="22"/>
  <c r="I703" i="22" s="1"/>
  <c r="B754" i="22"/>
  <c r="A754" i="22"/>
  <c r="B753" i="22"/>
  <c r="A753" i="22"/>
  <c r="B752" i="22"/>
  <c r="A752" i="22"/>
  <c r="F751" i="22"/>
  <c r="E751" i="22"/>
  <c r="D751" i="22"/>
  <c r="C751" i="22"/>
  <c r="B750" i="22"/>
  <c r="A750" i="22"/>
  <c r="G749" i="22"/>
  <c r="F749" i="22"/>
  <c r="E749" i="22"/>
  <c r="D749" i="22"/>
  <c r="C749" i="22"/>
  <c r="B748" i="22"/>
  <c r="A748" i="22"/>
  <c r="G747" i="22"/>
  <c r="F747" i="22"/>
  <c r="E747" i="22"/>
  <c r="D747" i="22"/>
  <c r="C747" i="22"/>
  <c r="B746" i="22"/>
  <c r="A746" i="22"/>
  <c r="F745" i="22"/>
  <c r="E745" i="22"/>
  <c r="D745" i="22"/>
  <c r="C745" i="22"/>
  <c r="B744" i="22"/>
  <c r="A744" i="22"/>
  <c r="B743" i="22"/>
  <c r="A743" i="22"/>
  <c r="G742" i="22"/>
  <c r="F742" i="22"/>
  <c r="E742" i="22"/>
  <c r="D742" i="22"/>
  <c r="C742" i="22"/>
  <c r="B741" i="22"/>
  <c r="A741" i="22"/>
  <c r="F740" i="22"/>
  <c r="E740" i="22"/>
  <c r="D740" i="22"/>
  <c r="C740" i="22"/>
  <c r="B739" i="22"/>
  <c r="A739" i="22"/>
  <c r="B738" i="22"/>
  <c r="A738" i="22"/>
  <c r="B737" i="22"/>
  <c r="A737" i="22"/>
  <c r="B736" i="22"/>
  <c r="A736" i="22"/>
  <c r="F735" i="22"/>
  <c r="D735" i="22"/>
  <c r="C735" i="22"/>
  <c r="F734" i="22"/>
  <c r="E734" i="22"/>
  <c r="C734" i="22"/>
  <c r="F733" i="22"/>
  <c r="E733" i="22"/>
  <c r="C733" i="22"/>
  <c r="F732" i="22"/>
  <c r="E732" i="22"/>
  <c r="C732" i="22"/>
  <c r="F731" i="22"/>
  <c r="E731" i="22"/>
  <c r="C731" i="22"/>
  <c r="B730" i="22"/>
  <c r="A730" i="22"/>
  <c r="F729" i="22"/>
  <c r="D729" i="22"/>
  <c r="C729" i="22"/>
  <c r="F728" i="22"/>
  <c r="E728" i="22"/>
  <c r="C728" i="22"/>
  <c r="F727" i="22"/>
  <c r="E727" i="22"/>
  <c r="C727" i="22"/>
  <c r="F726" i="22"/>
  <c r="E726" i="22"/>
  <c r="C726" i="22"/>
  <c r="F725" i="22"/>
  <c r="E725" i="22"/>
  <c r="C725" i="22"/>
  <c r="B724" i="22"/>
  <c r="A724" i="22"/>
  <c r="F723" i="22"/>
  <c r="D723" i="22"/>
  <c r="C723" i="22"/>
  <c r="F722" i="22"/>
  <c r="E722" i="22"/>
  <c r="C722" i="22"/>
  <c r="F721" i="22"/>
  <c r="E721" i="22"/>
  <c r="C721" i="22"/>
  <c r="F720" i="22"/>
  <c r="E720" i="22"/>
  <c r="C720" i="22"/>
  <c r="F719" i="22"/>
  <c r="E719" i="22"/>
  <c r="C719" i="22"/>
  <c r="B718" i="22"/>
  <c r="A718" i="22"/>
  <c r="F717" i="22"/>
  <c r="D717" i="22"/>
  <c r="C717" i="22"/>
  <c r="F716" i="22"/>
  <c r="E716" i="22"/>
  <c r="C716" i="22"/>
  <c r="F715" i="22"/>
  <c r="E715" i="22"/>
  <c r="C715" i="22"/>
  <c r="F714" i="22"/>
  <c r="E714" i="22"/>
  <c r="C714" i="22"/>
  <c r="F713" i="22"/>
  <c r="E713" i="22"/>
  <c r="C713" i="22"/>
  <c r="B712" i="22"/>
  <c r="A712" i="22"/>
  <c r="B711" i="22"/>
  <c r="A711" i="22"/>
  <c r="F710" i="22"/>
  <c r="D710" i="22"/>
  <c r="C710" i="22"/>
  <c r="F709" i="22"/>
  <c r="E709" i="22"/>
  <c r="C709" i="22"/>
  <c r="F708" i="22"/>
  <c r="E708" i="22"/>
  <c r="C708" i="22"/>
  <c r="F707" i="22"/>
  <c r="E707" i="22"/>
  <c r="C707" i="22"/>
  <c r="F706" i="22"/>
  <c r="E706" i="22"/>
  <c r="C706" i="22"/>
  <c r="B705" i="22"/>
  <c r="A705" i="22"/>
  <c r="F704" i="22"/>
  <c r="D704" i="22"/>
  <c r="C704" i="22"/>
  <c r="F703" i="22"/>
  <c r="E703" i="22"/>
  <c r="C703" i="22"/>
  <c r="F702" i="22"/>
  <c r="E702" i="22"/>
  <c r="C702" i="22"/>
  <c r="F701" i="22"/>
  <c r="E701" i="22"/>
  <c r="C701" i="22"/>
  <c r="F700" i="22"/>
  <c r="E700" i="22"/>
  <c r="C700" i="22"/>
  <c r="B699" i="22"/>
  <c r="A699" i="22"/>
  <c r="B698" i="22"/>
  <c r="A698" i="22"/>
  <c r="B697" i="22"/>
  <c r="A697" i="22"/>
  <c r="B696" i="22"/>
  <c r="A696" i="22"/>
  <c r="D691" i="22"/>
  <c r="D692" i="22"/>
  <c r="D693" i="22"/>
  <c r="D694" i="22"/>
  <c r="E695" i="22"/>
  <c r="F695" i="22"/>
  <c r="D695" i="22"/>
  <c r="C695" i="22"/>
  <c r="G694" i="22"/>
  <c r="I694" i="22" s="1"/>
  <c r="F694" i="22"/>
  <c r="E694" i="22"/>
  <c r="C694" i="22"/>
  <c r="F693" i="22"/>
  <c r="E693" i="22"/>
  <c r="C693" i="22"/>
  <c r="F692" i="22"/>
  <c r="E692" i="22"/>
  <c r="C692" i="22"/>
  <c r="G691" i="22"/>
  <c r="I691" i="22" s="1"/>
  <c r="F691" i="22"/>
  <c r="E691" i="22"/>
  <c r="C691" i="22"/>
  <c r="B690" i="22"/>
  <c r="A690" i="22"/>
  <c r="G689" i="22"/>
  <c r="D685" i="22"/>
  <c r="D686" i="22"/>
  <c r="D687" i="22"/>
  <c r="D688" i="22"/>
  <c r="E689" i="22"/>
  <c r="F689" i="22"/>
  <c r="D689" i="22"/>
  <c r="C689" i="22"/>
  <c r="F688" i="22"/>
  <c r="E688" i="22"/>
  <c r="C688" i="22"/>
  <c r="G687" i="22"/>
  <c r="I687" i="22" s="1"/>
  <c r="F687" i="22"/>
  <c r="E687" i="22"/>
  <c r="C687" i="22"/>
  <c r="F686" i="22"/>
  <c r="E686" i="22"/>
  <c r="C686" i="22"/>
  <c r="G685" i="22"/>
  <c r="I685" i="22" s="1"/>
  <c r="F685" i="22"/>
  <c r="E685" i="22"/>
  <c r="C685" i="22"/>
  <c r="B684" i="22"/>
  <c r="A684" i="22"/>
  <c r="B683" i="22"/>
  <c r="A683" i="22"/>
  <c r="D678" i="22"/>
  <c r="D679" i="22"/>
  <c r="D680" i="22"/>
  <c r="D681" i="22"/>
  <c r="E682" i="22"/>
  <c r="F682" i="22"/>
  <c r="D682" i="22"/>
  <c r="C682" i="22"/>
  <c r="G681" i="22"/>
  <c r="I681" i="22" s="1"/>
  <c r="F681" i="22"/>
  <c r="E681" i="22"/>
  <c r="C681" i="22"/>
  <c r="F680" i="22"/>
  <c r="E680" i="22"/>
  <c r="C680" i="22"/>
  <c r="F679" i="22"/>
  <c r="E679" i="22"/>
  <c r="C679" i="22"/>
  <c r="G678" i="22"/>
  <c r="I678" i="22" s="1"/>
  <c r="F678" i="22"/>
  <c r="E678" i="22"/>
  <c r="C678" i="22"/>
  <c r="D672" i="22"/>
  <c r="D673" i="22"/>
  <c r="D674" i="22"/>
  <c r="D675" i="22"/>
  <c r="E676" i="22"/>
  <c r="F676" i="22"/>
  <c r="D676" i="22"/>
  <c r="C676" i="22"/>
  <c r="F675" i="22"/>
  <c r="E675" i="22"/>
  <c r="C675" i="22"/>
  <c r="G674" i="22"/>
  <c r="I674" i="22" s="1"/>
  <c r="F674" i="22"/>
  <c r="E674" i="22"/>
  <c r="C674" i="22"/>
  <c r="F673" i="22"/>
  <c r="E673" i="22"/>
  <c r="C673" i="22"/>
  <c r="G672" i="22"/>
  <c r="I672" i="22" s="1"/>
  <c r="F672" i="22"/>
  <c r="E672" i="22"/>
  <c r="C672" i="22"/>
  <c r="B670" i="22"/>
  <c r="A670" i="22"/>
  <c r="G669" i="22"/>
  <c r="D665" i="22"/>
  <c r="D666" i="22"/>
  <c r="D667" i="22"/>
  <c r="D668" i="22"/>
  <c r="E669" i="22"/>
  <c r="F669" i="22"/>
  <c r="D669" i="22"/>
  <c r="C669" i="22"/>
  <c r="G668" i="22"/>
  <c r="I668" i="22" s="1"/>
  <c r="F668" i="22"/>
  <c r="E668" i="22"/>
  <c r="C668" i="22"/>
  <c r="F667" i="22"/>
  <c r="E667" i="22"/>
  <c r="C667" i="22"/>
  <c r="F666" i="22"/>
  <c r="E666" i="22"/>
  <c r="C666" i="22"/>
  <c r="G665" i="22"/>
  <c r="I665" i="22" s="1"/>
  <c r="F665" i="22"/>
  <c r="E665" i="22"/>
  <c r="C665" i="22"/>
  <c r="B664" i="22"/>
  <c r="A664" i="22"/>
  <c r="B663" i="22"/>
  <c r="A663" i="22"/>
  <c r="B662" i="22"/>
  <c r="A662" i="22"/>
  <c r="D657" i="22"/>
  <c r="D658" i="22"/>
  <c r="D659" i="22"/>
  <c r="D660" i="22"/>
  <c r="E661" i="22"/>
  <c r="F661" i="22"/>
  <c r="D661" i="22"/>
  <c r="C661" i="22"/>
  <c r="F660" i="22"/>
  <c r="E660" i="22"/>
  <c r="C660" i="22"/>
  <c r="F659" i="22"/>
  <c r="E659" i="22"/>
  <c r="C659" i="22"/>
  <c r="F658" i="22"/>
  <c r="E658" i="22"/>
  <c r="C658" i="22"/>
  <c r="G657" i="22"/>
  <c r="I657" i="22" s="1"/>
  <c r="F657" i="22"/>
  <c r="E657" i="22"/>
  <c r="C657" i="22"/>
  <c r="D651" i="22"/>
  <c r="D652" i="22"/>
  <c r="D653" i="22"/>
  <c r="D654" i="22"/>
  <c r="E655" i="22"/>
  <c r="F655" i="22"/>
  <c r="D655" i="22"/>
  <c r="C655" i="22"/>
  <c r="G654" i="22"/>
  <c r="I654" i="22" s="1"/>
  <c r="F654" i="22"/>
  <c r="E654" i="22"/>
  <c r="C654" i="22"/>
  <c r="F653" i="22"/>
  <c r="E653" i="22"/>
  <c r="C653" i="22"/>
  <c r="F652" i="22"/>
  <c r="E652" i="22"/>
  <c r="C652" i="22"/>
  <c r="G651" i="22"/>
  <c r="I651" i="22" s="1"/>
  <c r="F651" i="22"/>
  <c r="E651" i="22"/>
  <c r="C651" i="22"/>
  <c r="B649" i="22"/>
  <c r="A649" i="22"/>
  <c r="B648" i="22"/>
  <c r="A648" i="22"/>
  <c r="D643" i="22"/>
  <c r="D644" i="22"/>
  <c r="D645" i="22"/>
  <c r="D646" i="22"/>
  <c r="E647" i="22"/>
  <c r="F647" i="22"/>
  <c r="D647" i="22"/>
  <c r="C647" i="22"/>
  <c r="F646" i="22"/>
  <c r="E646" i="22"/>
  <c r="C646" i="22"/>
  <c r="G645" i="22"/>
  <c r="I645" i="22" s="1"/>
  <c r="F645" i="22"/>
  <c r="E645" i="22"/>
  <c r="C645" i="22"/>
  <c r="F644" i="22"/>
  <c r="E644" i="22"/>
  <c r="C644" i="22"/>
  <c r="G643" i="22"/>
  <c r="I643" i="22" s="1"/>
  <c r="F643" i="22"/>
  <c r="E643" i="22"/>
  <c r="C643" i="22"/>
  <c r="B642" i="22"/>
  <c r="A642" i="22"/>
  <c r="G641" i="22"/>
  <c r="D637" i="22"/>
  <c r="D638" i="22"/>
  <c r="D639" i="22"/>
  <c r="D640" i="22"/>
  <c r="E641" i="22"/>
  <c r="F641" i="22"/>
  <c r="D641" i="22"/>
  <c r="C641" i="22"/>
  <c r="F640" i="22"/>
  <c r="E640" i="22"/>
  <c r="C640" i="22"/>
  <c r="G639" i="22"/>
  <c r="I639" i="22" s="1"/>
  <c r="F639" i="22"/>
  <c r="E639" i="22"/>
  <c r="C639" i="22"/>
  <c r="F638" i="22"/>
  <c r="E638" i="22"/>
  <c r="C638" i="22"/>
  <c r="G637" i="22"/>
  <c r="I637" i="22" s="1"/>
  <c r="F637" i="22"/>
  <c r="E637" i="22"/>
  <c r="C637" i="22"/>
  <c r="B634" i="22"/>
  <c r="A634" i="22"/>
  <c r="D629" i="22"/>
  <c r="D630" i="22"/>
  <c r="D631" i="22"/>
  <c r="D632" i="22"/>
  <c r="E633" i="22"/>
  <c r="F633" i="22"/>
  <c r="D633" i="22"/>
  <c r="C633" i="22"/>
  <c r="F632" i="22"/>
  <c r="E632" i="22"/>
  <c r="C632" i="22"/>
  <c r="G631" i="22"/>
  <c r="I631" i="22" s="1"/>
  <c r="F631" i="22"/>
  <c r="E631" i="22"/>
  <c r="C631" i="22"/>
  <c r="F630" i="22"/>
  <c r="E630" i="22"/>
  <c r="C630" i="22"/>
  <c r="G629" i="22"/>
  <c r="I629" i="22" s="1"/>
  <c r="F629" i="22"/>
  <c r="E629" i="22"/>
  <c r="C629" i="22"/>
  <c r="B626" i="22"/>
  <c r="A626" i="22"/>
  <c r="G625" i="22"/>
  <c r="D621" i="22"/>
  <c r="D622" i="22"/>
  <c r="D623" i="22"/>
  <c r="D624" i="22"/>
  <c r="E625" i="22"/>
  <c r="F625" i="22"/>
  <c r="D625" i="22"/>
  <c r="C625" i="22"/>
  <c r="F624" i="22"/>
  <c r="E624" i="22"/>
  <c r="C624" i="22"/>
  <c r="F623" i="22"/>
  <c r="E623" i="22"/>
  <c r="C623" i="22"/>
  <c r="F622" i="22"/>
  <c r="E622" i="22"/>
  <c r="C622" i="22"/>
  <c r="G621" i="22"/>
  <c r="I621" i="22" s="1"/>
  <c r="F621" i="22"/>
  <c r="E621" i="22"/>
  <c r="C621" i="22"/>
  <c r="B618" i="22"/>
  <c r="A618" i="22"/>
  <c r="D613" i="22"/>
  <c r="D614" i="22"/>
  <c r="D615" i="22"/>
  <c r="D616" i="22"/>
  <c r="E617" i="22"/>
  <c r="F617" i="22"/>
  <c r="D617" i="22"/>
  <c r="C617" i="22"/>
  <c r="F616" i="22"/>
  <c r="E616" i="22"/>
  <c r="C616" i="22"/>
  <c r="F615" i="22"/>
  <c r="E615" i="22"/>
  <c r="C615" i="22"/>
  <c r="F614" i="22"/>
  <c r="E614" i="22"/>
  <c r="C614" i="22"/>
  <c r="G613" i="22"/>
  <c r="I613" i="22" s="1"/>
  <c r="F613" i="22"/>
  <c r="E613" i="22"/>
  <c r="C613" i="22"/>
  <c r="B610" i="22"/>
  <c r="A610" i="22"/>
  <c r="G609" i="22"/>
  <c r="D605" i="22"/>
  <c r="D606" i="22"/>
  <c r="D607" i="22"/>
  <c r="D608" i="22"/>
  <c r="E609" i="22"/>
  <c r="F609" i="22"/>
  <c r="D609" i="22"/>
  <c r="C609" i="22"/>
  <c r="G608" i="22"/>
  <c r="I608" i="22" s="1"/>
  <c r="F608" i="22"/>
  <c r="E608" i="22"/>
  <c r="C608" i="22"/>
  <c r="F607" i="22"/>
  <c r="E607" i="22"/>
  <c r="C607" i="22"/>
  <c r="F606" i="22"/>
  <c r="E606" i="22"/>
  <c r="C606" i="22"/>
  <c r="G605" i="22"/>
  <c r="I605" i="22" s="1"/>
  <c r="F605" i="22"/>
  <c r="E605" i="22"/>
  <c r="C605" i="22"/>
  <c r="B602" i="22"/>
  <c r="A602" i="22"/>
  <c r="B601" i="22"/>
  <c r="A601" i="22"/>
  <c r="G600" i="22"/>
  <c r="D596" i="22"/>
  <c r="D597" i="22"/>
  <c r="D598" i="22"/>
  <c r="D599" i="22"/>
  <c r="E600" i="22"/>
  <c r="F600" i="22"/>
  <c r="D600" i="22"/>
  <c r="C600" i="22"/>
  <c r="G599" i="22"/>
  <c r="I599" i="22" s="1"/>
  <c r="F599" i="22"/>
  <c r="E599" i="22"/>
  <c r="C599" i="22"/>
  <c r="F598" i="22"/>
  <c r="E598" i="22"/>
  <c r="C598" i="22"/>
  <c r="G597" i="22"/>
  <c r="I597" i="22" s="1"/>
  <c r="F597" i="22"/>
  <c r="E597" i="22"/>
  <c r="C597" i="22"/>
  <c r="G596" i="22"/>
  <c r="I596" i="22" s="1"/>
  <c r="F596" i="22"/>
  <c r="E596" i="22"/>
  <c r="C596" i="22"/>
  <c r="B595" i="22"/>
  <c r="A595" i="22"/>
  <c r="B594" i="22"/>
  <c r="A594" i="22"/>
  <c r="B593" i="22"/>
  <c r="A593" i="22"/>
  <c r="B592" i="22"/>
  <c r="A592" i="22"/>
  <c r="D587" i="22"/>
  <c r="D588" i="22"/>
  <c r="D589" i="22"/>
  <c r="D590" i="22"/>
  <c r="E591" i="22"/>
  <c r="F591" i="22"/>
  <c r="D591" i="22"/>
  <c r="C591" i="22"/>
  <c r="G590" i="22"/>
  <c r="I590" i="22" s="1"/>
  <c r="F590" i="22"/>
  <c r="E590" i="22"/>
  <c r="C590" i="22"/>
  <c r="F589" i="22"/>
  <c r="E589" i="22"/>
  <c r="C589" i="22"/>
  <c r="F588" i="22"/>
  <c r="E588" i="22"/>
  <c r="C588" i="22"/>
  <c r="G587" i="22"/>
  <c r="I587" i="22" s="1"/>
  <c r="F587" i="22"/>
  <c r="E587" i="22"/>
  <c r="C587" i="22"/>
  <c r="B586" i="22"/>
  <c r="A586" i="22"/>
  <c r="G585" i="22"/>
  <c r="D581" i="22"/>
  <c r="D582" i="22"/>
  <c r="D583" i="22"/>
  <c r="D584" i="22"/>
  <c r="E585" i="22"/>
  <c r="F585" i="22"/>
  <c r="D585" i="22"/>
  <c r="C585" i="22"/>
  <c r="F584" i="22"/>
  <c r="E584" i="22"/>
  <c r="C584" i="22"/>
  <c r="F583" i="22"/>
  <c r="E583" i="22"/>
  <c r="C583" i="22"/>
  <c r="F582" i="22"/>
  <c r="E582" i="22"/>
  <c r="C582" i="22"/>
  <c r="G581" i="22"/>
  <c r="I581" i="22" s="1"/>
  <c r="F581" i="22"/>
  <c r="E581" i="22"/>
  <c r="C581" i="22"/>
  <c r="B580" i="22"/>
  <c r="A580" i="22"/>
  <c r="B579" i="22"/>
  <c r="A579" i="22"/>
  <c r="D574" i="22"/>
  <c r="D575" i="22"/>
  <c r="D576" i="22"/>
  <c r="D577" i="22"/>
  <c r="E578" i="22"/>
  <c r="F578" i="22"/>
  <c r="D578" i="22"/>
  <c r="C578" i="22"/>
  <c r="F577" i="22"/>
  <c r="E577" i="22"/>
  <c r="C577" i="22"/>
  <c r="F576" i="22"/>
  <c r="E576" i="22"/>
  <c r="C576" i="22"/>
  <c r="F575" i="22"/>
  <c r="E575" i="22"/>
  <c r="C575" i="22"/>
  <c r="G574" i="22"/>
  <c r="I574" i="22" s="1"/>
  <c r="F574" i="22"/>
  <c r="E574" i="22"/>
  <c r="C574" i="22"/>
  <c r="B573" i="22"/>
  <c r="A573" i="22"/>
  <c r="G572" i="22"/>
  <c r="D568" i="22"/>
  <c r="D569" i="22"/>
  <c r="D570" i="22"/>
  <c r="D571" i="22"/>
  <c r="E572" i="22"/>
  <c r="F572" i="22"/>
  <c r="D572" i="22"/>
  <c r="C572" i="22"/>
  <c r="G571" i="22"/>
  <c r="I571" i="22" s="1"/>
  <c r="F571" i="22"/>
  <c r="E571" i="22"/>
  <c r="C571" i="22"/>
  <c r="F570" i="22"/>
  <c r="E570" i="22"/>
  <c r="C570" i="22"/>
  <c r="F569" i="22"/>
  <c r="E569" i="22"/>
  <c r="C569" i="22"/>
  <c r="G568" i="22"/>
  <c r="I568" i="22" s="1"/>
  <c r="F568" i="22"/>
  <c r="E568" i="22"/>
  <c r="C568" i="22"/>
  <c r="B567" i="22"/>
  <c r="A567" i="22"/>
  <c r="B566" i="22"/>
  <c r="A566" i="22"/>
  <c r="B565" i="22"/>
  <c r="A565" i="22"/>
  <c r="B564" i="22"/>
  <c r="A564" i="22"/>
  <c r="B563" i="22"/>
  <c r="A563" i="22"/>
  <c r="B562" i="22"/>
  <c r="A562" i="22"/>
  <c r="B561" i="22"/>
  <c r="A561" i="22"/>
  <c r="B560" i="22"/>
  <c r="A560" i="22"/>
  <c r="G559" i="22"/>
  <c r="D555" i="22"/>
  <c r="D556" i="22"/>
  <c r="D557" i="22"/>
  <c r="D558" i="22"/>
  <c r="E559" i="22"/>
  <c r="F559" i="22"/>
  <c r="D559" i="22"/>
  <c r="C559" i="22"/>
  <c r="G558" i="22"/>
  <c r="I558" i="22" s="1"/>
  <c r="F558" i="22"/>
  <c r="E558" i="22"/>
  <c r="C558" i="22"/>
  <c r="F557" i="22"/>
  <c r="E557" i="22"/>
  <c r="C557" i="22"/>
  <c r="F556" i="22"/>
  <c r="E556" i="22"/>
  <c r="C556" i="22"/>
  <c r="G555" i="22"/>
  <c r="I555" i="22" s="1"/>
  <c r="F555" i="22"/>
  <c r="E555" i="22"/>
  <c r="C555" i="22"/>
  <c r="B554" i="22"/>
  <c r="A554" i="22"/>
  <c r="B553" i="22"/>
  <c r="A553" i="22"/>
  <c r="G552" i="22"/>
  <c r="D548" i="22"/>
  <c r="D549" i="22"/>
  <c r="D550" i="22"/>
  <c r="D551" i="22"/>
  <c r="E552" i="22"/>
  <c r="F552" i="22"/>
  <c r="D552" i="22"/>
  <c r="C552" i="22"/>
  <c r="G551" i="22"/>
  <c r="I551" i="22" s="1"/>
  <c r="F551" i="22"/>
  <c r="E551" i="22"/>
  <c r="C551" i="22"/>
  <c r="F550" i="22"/>
  <c r="E550" i="22"/>
  <c r="C550" i="22"/>
  <c r="F549" i="22"/>
  <c r="E549" i="22"/>
  <c r="C549" i="22"/>
  <c r="G548" i="22"/>
  <c r="I548" i="22" s="1"/>
  <c r="F548" i="22"/>
  <c r="E548" i="22"/>
  <c r="C548" i="22"/>
  <c r="B547" i="22"/>
  <c r="A547" i="22"/>
  <c r="D542" i="22"/>
  <c r="D543" i="22"/>
  <c r="D544" i="22"/>
  <c r="D545" i="22"/>
  <c r="E546" i="22"/>
  <c r="F546" i="22"/>
  <c r="D546" i="22"/>
  <c r="C546" i="22"/>
  <c r="F545" i="22"/>
  <c r="E545" i="22"/>
  <c r="C545" i="22"/>
  <c r="F544" i="22"/>
  <c r="E544" i="22"/>
  <c r="C544" i="22"/>
  <c r="F543" i="22"/>
  <c r="E543" i="22"/>
  <c r="C543" i="22"/>
  <c r="G542" i="22"/>
  <c r="I542" i="22" s="1"/>
  <c r="F542" i="22"/>
  <c r="E542" i="22"/>
  <c r="C542" i="22"/>
  <c r="B541" i="22"/>
  <c r="A541" i="22"/>
  <c r="B540" i="22"/>
  <c r="A540" i="22"/>
  <c r="B539" i="22"/>
  <c r="A539" i="22"/>
  <c r="G538" i="22"/>
  <c r="D533" i="22"/>
  <c r="D534" i="22"/>
  <c r="D535" i="22"/>
  <c r="D536" i="22"/>
  <c r="D537" i="22"/>
  <c r="E538" i="22"/>
  <c r="F538" i="22"/>
  <c r="D538" i="22"/>
  <c r="C538" i="22"/>
  <c r="G537" i="22"/>
  <c r="I537" i="22" s="1"/>
  <c r="F537" i="22"/>
  <c r="E537" i="22"/>
  <c r="C537" i="22"/>
  <c r="G536" i="22"/>
  <c r="I536" i="22" s="1"/>
  <c r="F536" i="22"/>
  <c r="E536" i="22"/>
  <c r="C536" i="22"/>
  <c r="F535" i="22"/>
  <c r="E535" i="22"/>
  <c r="C535" i="22"/>
  <c r="F534" i="22"/>
  <c r="E534" i="22"/>
  <c r="C534" i="22"/>
  <c r="G533" i="22"/>
  <c r="I533" i="22" s="1"/>
  <c r="F533" i="22"/>
  <c r="E533" i="22"/>
  <c r="C533" i="22"/>
  <c r="B532" i="22"/>
  <c r="A532" i="22"/>
  <c r="D526" i="22"/>
  <c r="D527" i="22"/>
  <c r="D528" i="22"/>
  <c r="D529" i="22"/>
  <c r="D530" i="22"/>
  <c r="E531" i="22"/>
  <c r="F531" i="22"/>
  <c r="D531" i="22"/>
  <c r="C531" i="22"/>
  <c r="F530" i="22"/>
  <c r="E530" i="22"/>
  <c r="C530" i="22"/>
  <c r="G529" i="22"/>
  <c r="I529" i="22" s="1"/>
  <c r="F529" i="22"/>
  <c r="E529" i="22"/>
  <c r="C529" i="22"/>
  <c r="F528" i="22"/>
  <c r="E528" i="22"/>
  <c r="C528" i="22"/>
  <c r="F527" i="22"/>
  <c r="E527" i="22"/>
  <c r="C527" i="22"/>
  <c r="G526" i="22"/>
  <c r="I526" i="22" s="1"/>
  <c r="F526" i="22"/>
  <c r="E526" i="22"/>
  <c r="C526" i="22"/>
  <c r="B525" i="22"/>
  <c r="A525" i="22"/>
  <c r="B524" i="22"/>
  <c r="A524" i="22"/>
  <c r="B523" i="22"/>
  <c r="A523" i="22"/>
  <c r="B522" i="22"/>
  <c r="A522" i="22"/>
  <c r="B521" i="22"/>
  <c r="A521" i="22"/>
  <c r="B520" i="22"/>
  <c r="A520" i="22"/>
  <c r="B519" i="22"/>
  <c r="A519" i="22"/>
  <c r="G518" i="22"/>
  <c r="D514" i="22"/>
  <c r="D515" i="22"/>
  <c r="D516" i="22"/>
  <c r="D517" i="22"/>
  <c r="E518" i="22"/>
  <c r="F518" i="22"/>
  <c r="D518" i="22"/>
  <c r="C518" i="22"/>
  <c r="F517" i="22"/>
  <c r="E517" i="22"/>
  <c r="C517" i="22"/>
  <c r="G516" i="22"/>
  <c r="I516" i="22" s="1"/>
  <c r="F516" i="22"/>
  <c r="E516" i="22"/>
  <c r="C516" i="22"/>
  <c r="F515" i="22"/>
  <c r="E515" i="22"/>
  <c r="C515" i="22"/>
  <c r="G514" i="22"/>
  <c r="I514" i="22" s="1"/>
  <c r="F514" i="22"/>
  <c r="E514" i="22"/>
  <c r="C514" i="22"/>
  <c r="B513" i="22"/>
  <c r="A513" i="22"/>
  <c r="D508" i="22"/>
  <c r="D509" i="22"/>
  <c r="D510" i="22"/>
  <c r="D511" i="22"/>
  <c r="E512" i="22"/>
  <c r="F512" i="22"/>
  <c r="D512" i="22"/>
  <c r="C512" i="22"/>
  <c r="G511" i="22"/>
  <c r="I511" i="22" s="1"/>
  <c r="F511" i="22"/>
  <c r="E511" i="22"/>
  <c r="C511" i="22"/>
  <c r="F510" i="22"/>
  <c r="E510" i="22"/>
  <c r="C510" i="22"/>
  <c r="F509" i="22"/>
  <c r="E509" i="22"/>
  <c r="C509" i="22"/>
  <c r="G508" i="22"/>
  <c r="I508" i="22" s="1"/>
  <c r="F508" i="22"/>
  <c r="E508" i="22"/>
  <c r="C508" i="22"/>
  <c r="B507" i="22"/>
  <c r="A507" i="22"/>
  <c r="B506" i="22"/>
  <c r="A506" i="22"/>
  <c r="D468" i="22"/>
  <c r="D469" i="22"/>
  <c r="D470" i="22"/>
  <c r="D471" i="22"/>
  <c r="E472" i="22"/>
  <c r="G505" i="22"/>
  <c r="F505" i="22"/>
  <c r="E505" i="22"/>
  <c r="D505" i="22"/>
  <c r="C505" i="22"/>
  <c r="G468" i="22"/>
  <c r="I468" i="22" s="1"/>
  <c r="B504" i="22"/>
  <c r="A504" i="22"/>
  <c r="D461" i="22"/>
  <c r="D462" i="22"/>
  <c r="D463" i="22"/>
  <c r="D464" i="22"/>
  <c r="E465" i="22"/>
  <c r="G503" i="22"/>
  <c r="F503" i="22"/>
  <c r="E503" i="22"/>
  <c r="D503" i="22"/>
  <c r="C503" i="22"/>
  <c r="G461" i="22"/>
  <c r="I461" i="22" s="1"/>
  <c r="G463" i="22"/>
  <c r="I463" i="22" s="1"/>
  <c r="B502" i="22"/>
  <c r="A502" i="22"/>
  <c r="G459" i="22"/>
  <c r="D455" i="22"/>
  <c r="D456" i="22"/>
  <c r="D457" i="22"/>
  <c r="D458" i="22"/>
  <c r="E459" i="22"/>
  <c r="F501" i="22"/>
  <c r="E501" i="22"/>
  <c r="D501" i="22"/>
  <c r="C501" i="22"/>
  <c r="G455" i="22"/>
  <c r="I455" i="22" s="1"/>
  <c r="G458" i="22"/>
  <c r="I458" i="22" s="1"/>
  <c r="B500" i="22"/>
  <c r="A500" i="22"/>
  <c r="B499" i="22"/>
  <c r="A499" i="22"/>
  <c r="D448" i="22"/>
  <c r="D449" i="22"/>
  <c r="D450" i="22"/>
  <c r="D451" i="22"/>
  <c r="E452" i="22"/>
  <c r="G498" i="22"/>
  <c r="F498" i="22"/>
  <c r="E498" i="22"/>
  <c r="D498" i="22"/>
  <c r="C498" i="22"/>
  <c r="G448" i="22"/>
  <c r="I448" i="22" s="1"/>
  <c r="B497" i="22"/>
  <c r="A497" i="22"/>
  <c r="D442" i="22"/>
  <c r="D443" i="22"/>
  <c r="D444" i="22"/>
  <c r="D445" i="22"/>
  <c r="E446" i="22"/>
  <c r="G496" i="22"/>
  <c r="F496" i="22"/>
  <c r="E496" i="22"/>
  <c r="D496" i="22"/>
  <c r="C496" i="22"/>
  <c r="G442" i="22"/>
  <c r="I442" i="22" s="1"/>
  <c r="G445" i="22"/>
  <c r="I445" i="22" s="1"/>
  <c r="B495" i="22"/>
  <c r="A495" i="22"/>
  <c r="D436" i="22"/>
  <c r="D437" i="22"/>
  <c r="D438" i="22"/>
  <c r="D439" i="22"/>
  <c r="E440" i="22"/>
  <c r="G494" i="22"/>
  <c r="F494" i="22"/>
  <c r="E494" i="22"/>
  <c r="D494" i="22"/>
  <c r="C494" i="22"/>
  <c r="G436" i="22"/>
  <c r="I436" i="22" s="1"/>
  <c r="B493" i="22"/>
  <c r="A493" i="22"/>
  <c r="B492" i="22"/>
  <c r="A492" i="22"/>
  <c r="B491" i="22"/>
  <c r="A491" i="22"/>
  <c r="B490" i="22"/>
  <c r="A490" i="22"/>
  <c r="F489" i="22"/>
  <c r="E489" i="22"/>
  <c r="D489" i="22"/>
  <c r="C489" i="22"/>
  <c r="B488" i="22"/>
  <c r="A488" i="22"/>
  <c r="F487" i="22"/>
  <c r="E487" i="22"/>
  <c r="D487" i="22"/>
  <c r="C487" i="22"/>
  <c r="B486" i="22"/>
  <c r="A486" i="22"/>
  <c r="G485" i="22"/>
  <c r="F485" i="22"/>
  <c r="E485" i="22"/>
  <c r="D485" i="22"/>
  <c r="C485" i="22"/>
  <c r="B484" i="22"/>
  <c r="A484" i="22"/>
  <c r="G483" i="22"/>
  <c r="F483" i="22"/>
  <c r="E483" i="22"/>
  <c r="D483" i="22"/>
  <c r="C483" i="22"/>
  <c r="B482" i="22"/>
  <c r="A482" i="22"/>
  <c r="B481" i="22"/>
  <c r="A481" i="22"/>
  <c r="G480" i="22"/>
  <c r="F480" i="22"/>
  <c r="E480" i="22"/>
  <c r="D480" i="22"/>
  <c r="C480" i="22"/>
  <c r="B479" i="22"/>
  <c r="A479" i="22"/>
  <c r="G478" i="22"/>
  <c r="F478" i="22"/>
  <c r="E478" i="22"/>
  <c r="D478" i="22"/>
  <c r="C478" i="22"/>
  <c r="B477" i="22"/>
  <c r="A477" i="22"/>
  <c r="B476" i="22"/>
  <c r="A476" i="22"/>
  <c r="B475" i="22"/>
  <c r="A475" i="22"/>
  <c r="B474" i="22"/>
  <c r="A474" i="22"/>
  <c r="B473" i="22"/>
  <c r="A473" i="22"/>
  <c r="F472" i="22"/>
  <c r="D472" i="22"/>
  <c r="C472" i="22"/>
  <c r="F471" i="22"/>
  <c r="E471" i="22"/>
  <c r="C471" i="22"/>
  <c r="F470" i="22"/>
  <c r="E470" i="22"/>
  <c r="C470" i="22"/>
  <c r="F469" i="22"/>
  <c r="E469" i="22"/>
  <c r="C469" i="22"/>
  <c r="F468" i="22"/>
  <c r="E468" i="22"/>
  <c r="C468" i="22"/>
  <c r="B467" i="22"/>
  <c r="A467" i="22"/>
  <c r="B466" i="22"/>
  <c r="A466" i="22"/>
  <c r="F465" i="22"/>
  <c r="D465" i="22"/>
  <c r="C465" i="22"/>
  <c r="F464" i="22"/>
  <c r="E464" i="22"/>
  <c r="C464" i="22"/>
  <c r="F463" i="22"/>
  <c r="E463" i="22"/>
  <c r="C463" i="22"/>
  <c r="F462" i="22"/>
  <c r="E462" i="22"/>
  <c r="C462" i="22"/>
  <c r="F461" i="22"/>
  <c r="E461" i="22"/>
  <c r="C461" i="22"/>
  <c r="B460" i="22"/>
  <c r="A460" i="22"/>
  <c r="F459" i="22"/>
  <c r="D459" i="22"/>
  <c r="C459" i="22"/>
  <c r="F458" i="22"/>
  <c r="E458" i="22"/>
  <c r="C458" i="22"/>
  <c r="F457" i="22"/>
  <c r="E457" i="22"/>
  <c r="C457" i="22"/>
  <c r="F456" i="22"/>
  <c r="E456" i="22"/>
  <c r="C456" i="22"/>
  <c r="F455" i="22"/>
  <c r="E455" i="22"/>
  <c r="C455" i="22"/>
  <c r="B454" i="22"/>
  <c r="A454" i="22"/>
  <c r="B453" i="22"/>
  <c r="A453" i="22"/>
  <c r="F452" i="22"/>
  <c r="D452" i="22"/>
  <c r="C452" i="22"/>
  <c r="F451" i="22"/>
  <c r="E451" i="22"/>
  <c r="C451" i="22"/>
  <c r="F450" i="22"/>
  <c r="E450" i="22"/>
  <c r="C450" i="22"/>
  <c r="F449" i="22"/>
  <c r="E449" i="22"/>
  <c r="C449" i="22"/>
  <c r="F448" i="22"/>
  <c r="E448" i="22"/>
  <c r="C448" i="22"/>
  <c r="B447" i="22"/>
  <c r="A447" i="22"/>
  <c r="F446" i="22"/>
  <c r="D446" i="22"/>
  <c r="C446" i="22"/>
  <c r="F445" i="22"/>
  <c r="E445" i="22"/>
  <c r="C445" i="22"/>
  <c r="F444" i="22"/>
  <c r="E444" i="22"/>
  <c r="C444" i="22"/>
  <c r="F443" i="22"/>
  <c r="E443" i="22"/>
  <c r="C443" i="22"/>
  <c r="F442" i="22"/>
  <c r="E442" i="22"/>
  <c r="C442" i="22"/>
  <c r="B441" i="22"/>
  <c r="A441" i="22"/>
  <c r="F440" i="22"/>
  <c r="D440" i="22"/>
  <c r="C440" i="22"/>
  <c r="F439" i="22"/>
  <c r="E439" i="22"/>
  <c r="C439" i="22"/>
  <c r="F438" i="22"/>
  <c r="E438" i="22"/>
  <c r="C438" i="22"/>
  <c r="F437" i="22"/>
  <c r="E437" i="22"/>
  <c r="C437" i="22"/>
  <c r="F436" i="22"/>
  <c r="E436" i="22"/>
  <c r="C436" i="22"/>
  <c r="B435" i="22"/>
  <c r="A435" i="22"/>
  <c r="B434" i="22"/>
  <c r="A434" i="22"/>
  <c r="B433" i="22"/>
  <c r="A433" i="22"/>
  <c r="B432" i="22"/>
  <c r="A432" i="22"/>
  <c r="B431" i="22"/>
  <c r="A431" i="22"/>
  <c r="G430" i="22"/>
  <c r="D426" i="22"/>
  <c r="D427" i="22"/>
  <c r="D428" i="22"/>
  <c r="D429" i="22"/>
  <c r="E430" i="22"/>
  <c r="F430" i="22"/>
  <c r="D430" i="22"/>
  <c r="C430" i="22"/>
  <c r="G429" i="22"/>
  <c r="I429" i="22" s="1"/>
  <c r="F429" i="22"/>
  <c r="E429" i="22"/>
  <c r="C429" i="22"/>
  <c r="F428" i="22"/>
  <c r="E428" i="22"/>
  <c r="C428" i="22"/>
  <c r="G427" i="22"/>
  <c r="I427" i="22" s="1"/>
  <c r="F427" i="22"/>
  <c r="E427" i="22"/>
  <c r="C427" i="22"/>
  <c r="G426" i="22"/>
  <c r="I426" i="22" s="1"/>
  <c r="F426" i="22"/>
  <c r="E426" i="22"/>
  <c r="C426" i="22"/>
  <c r="B425" i="22"/>
  <c r="A425" i="22"/>
  <c r="G424" i="22"/>
  <c r="D420" i="22"/>
  <c r="D421" i="22"/>
  <c r="D422" i="22"/>
  <c r="D423" i="22"/>
  <c r="E424" i="22"/>
  <c r="F424" i="22"/>
  <c r="D424" i="22"/>
  <c r="C424" i="22"/>
  <c r="F423" i="22"/>
  <c r="E423" i="22"/>
  <c r="C423" i="22"/>
  <c r="F422" i="22"/>
  <c r="E422" i="22"/>
  <c r="C422" i="22"/>
  <c r="F421" i="22"/>
  <c r="E421" i="22"/>
  <c r="C421" i="22"/>
  <c r="G420" i="22"/>
  <c r="I420" i="22" s="1"/>
  <c r="F420" i="22"/>
  <c r="E420" i="22"/>
  <c r="C420" i="22"/>
  <c r="B419" i="22"/>
  <c r="A419" i="22"/>
  <c r="D414" i="22"/>
  <c r="D415" i="22"/>
  <c r="D416" i="22"/>
  <c r="D417" i="22"/>
  <c r="E418" i="22"/>
  <c r="F418" i="22"/>
  <c r="D418" i="22"/>
  <c r="C418" i="22"/>
  <c r="G417" i="22"/>
  <c r="I417" i="22" s="1"/>
  <c r="F417" i="22"/>
  <c r="E417" i="22"/>
  <c r="C417" i="22"/>
  <c r="F416" i="22"/>
  <c r="E416" i="22"/>
  <c r="C416" i="22"/>
  <c r="G415" i="22"/>
  <c r="I415" i="22" s="1"/>
  <c r="F415" i="22"/>
  <c r="E415" i="22"/>
  <c r="C415" i="22"/>
  <c r="G414" i="22"/>
  <c r="I414" i="22" s="1"/>
  <c r="F414" i="22"/>
  <c r="E414" i="22"/>
  <c r="C414" i="22"/>
  <c r="B413" i="22"/>
  <c r="A413" i="22"/>
  <c r="D408" i="22"/>
  <c r="D409" i="22"/>
  <c r="D410" i="22"/>
  <c r="D411" i="22"/>
  <c r="E412" i="22"/>
  <c r="F412" i="22"/>
  <c r="D412" i="22"/>
  <c r="C412" i="22"/>
  <c r="G411" i="22"/>
  <c r="I411" i="22" s="1"/>
  <c r="F411" i="22"/>
  <c r="E411" i="22"/>
  <c r="C411" i="22"/>
  <c r="G410" i="22"/>
  <c r="I410" i="22" s="1"/>
  <c r="F410" i="22"/>
  <c r="E410" i="22"/>
  <c r="C410" i="22"/>
  <c r="G409" i="22"/>
  <c r="I409" i="22" s="1"/>
  <c r="F409" i="22"/>
  <c r="E409" i="22"/>
  <c r="C409" i="22"/>
  <c r="G408" i="22"/>
  <c r="I408" i="22" s="1"/>
  <c r="F408" i="22"/>
  <c r="E408" i="22"/>
  <c r="C408" i="22"/>
  <c r="B407" i="22"/>
  <c r="A407" i="22"/>
  <c r="D402" i="22"/>
  <c r="D403" i="22"/>
  <c r="D404" i="22"/>
  <c r="D405" i="22"/>
  <c r="E406" i="22"/>
  <c r="F406" i="22"/>
  <c r="D406" i="22"/>
  <c r="C406" i="22"/>
  <c r="F405" i="22"/>
  <c r="E405" i="22"/>
  <c r="C405" i="22"/>
  <c r="G404" i="22"/>
  <c r="I404" i="22" s="1"/>
  <c r="F404" i="22"/>
  <c r="E404" i="22"/>
  <c r="C404" i="22"/>
  <c r="F403" i="22"/>
  <c r="E403" i="22"/>
  <c r="C403" i="22"/>
  <c r="G402" i="22"/>
  <c r="I402" i="22" s="1"/>
  <c r="F402" i="22"/>
  <c r="E402" i="22"/>
  <c r="C402" i="22"/>
  <c r="B401" i="22"/>
  <c r="A401" i="22"/>
  <c r="B400" i="22"/>
  <c r="A400" i="22"/>
  <c r="B399" i="22"/>
  <c r="A399" i="22"/>
  <c r="G398" i="22"/>
  <c r="D394" i="22"/>
  <c r="D395" i="22"/>
  <c r="D396" i="22"/>
  <c r="D397" i="22"/>
  <c r="E398" i="22"/>
  <c r="F398" i="22"/>
  <c r="D398" i="22"/>
  <c r="C398" i="22"/>
  <c r="F397" i="22"/>
  <c r="E397" i="22"/>
  <c r="C397" i="22"/>
  <c r="F396" i="22"/>
  <c r="E396" i="22"/>
  <c r="C396" i="22"/>
  <c r="F395" i="22"/>
  <c r="E395" i="22"/>
  <c r="C395" i="22"/>
  <c r="G394" i="22"/>
  <c r="I394" i="22" s="1"/>
  <c r="F394" i="22"/>
  <c r="E394" i="22"/>
  <c r="C394" i="22"/>
  <c r="B393" i="22"/>
  <c r="A393" i="22"/>
  <c r="B392" i="22"/>
  <c r="A392" i="22"/>
  <c r="B391" i="22"/>
  <c r="A391" i="22"/>
  <c r="D386" i="22"/>
  <c r="D387" i="22"/>
  <c r="D388" i="22"/>
  <c r="D389" i="22"/>
  <c r="E390" i="22"/>
  <c r="F390" i="22"/>
  <c r="D390" i="22"/>
  <c r="C390" i="22"/>
  <c r="F389" i="22"/>
  <c r="E389" i="22"/>
  <c r="C389" i="22"/>
  <c r="F388" i="22"/>
  <c r="E388" i="22"/>
  <c r="C388" i="22"/>
  <c r="F387" i="22"/>
  <c r="E387" i="22"/>
  <c r="C387" i="22"/>
  <c r="G386" i="22"/>
  <c r="I386" i="22" s="1"/>
  <c r="F386" i="22"/>
  <c r="E386" i="22"/>
  <c r="C386" i="22"/>
  <c r="B385" i="22"/>
  <c r="A385" i="22"/>
  <c r="G384" i="22"/>
  <c r="D380" i="22"/>
  <c r="D381" i="22"/>
  <c r="D382" i="22"/>
  <c r="D383" i="22"/>
  <c r="E384" i="22"/>
  <c r="F384" i="22"/>
  <c r="D384" i="22"/>
  <c r="C384" i="22"/>
  <c r="F383" i="22"/>
  <c r="E383" i="22"/>
  <c r="C383" i="22"/>
  <c r="F382" i="22"/>
  <c r="E382" i="22"/>
  <c r="C382" i="22"/>
  <c r="F381" i="22"/>
  <c r="E381" i="22"/>
  <c r="C381" i="22"/>
  <c r="G380" i="22"/>
  <c r="I380" i="22" s="1"/>
  <c r="F380" i="22"/>
  <c r="E380" i="22"/>
  <c r="C380" i="22"/>
  <c r="B379" i="22"/>
  <c r="A379" i="22"/>
  <c r="B378" i="22"/>
  <c r="A378" i="22"/>
  <c r="B377" i="22"/>
  <c r="A377" i="22"/>
  <c r="D372" i="22"/>
  <c r="D373" i="22"/>
  <c r="D374" i="22"/>
  <c r="D375" i="22"/>
  <c r="E376" i="22"/>
  <c r="F376" i="22"/>
  <c r="D376" i="22"/>
  <c r="C376" i="22"/>
  <c r="G375" i="22"/>
  <c r="I375" i="22" s="1"/>
  <c r="F375" i="22"/>
  <c r="E375" i="22"/>
  <c r="C375" i="22"/>
  <c r="G374" i="22"/>
  <c r="I374" i="22" s="1"/>
  <c r="F374" i="22"/>
  <c r="E374" i="22"/>
  <c r="C374" i="22"/>
  <c r="F373" i="22"/>
  <c r="E373" i="22"/>
  <c r="C373" i="22"/>
  <c r="G372" i="22"/>
  <c r="I372" i="22" s="1"/>
  <c r="F372" i="22"/>
  <c r="E372" i="22"/>
  <c r="C372" i="22"/>
  <c r="B371" i="22"/>
  <c r="G370" i="22"/>
  <c r="D366" i="22"/>
  <c r="D367" i="22"/>
  <c r="D368" i="22"/>
  <c r="D369" i="22"/>
  <c r="E370" i="22"/>
  <c r="F370" i="22"/>
  <c r="D370" i="22"/>
  <c r="C370" i="22"/>
  <c r="F369" i="22"/>
  <c r="E369" i="22"/>
  <c r="C369" i="22"/>
  <c r="G368" i="22"/>
  <c r="I368" i="22" s="1"/>
  <c r="F368" i="22"/>
  <c r="E368" i="22"/>
  <c r="C368" i="22"/>
  <c r="F367" i="22"/>
  <c r="E367" i="22"/>
  <c r="C367" i="22"/>
  <c r="G366" i="22"/>
  <c r="I366" i="22" s="1"/>
  <c r="F366" i="22"/>
  <c r="E366" i="22"/>
  <c r="C366" i="22"/>
  <c r="B365" i="22"/>
  <c r="B364" i="22"/>
  <c r="D359" i="22"/>
  <c r="D360" i="22"/>
  <c r="D361" i="22"/>
  <c r="D362" i="22"/>
  <c r="H363" i="22" s="1"/>
  <c r="E363" i="22"/>
  <c r="F363" i="22"/>
  <c r="D363" i="22"/>
  <c r="C363" i="22"/>
  <c r="F362" i="22"/>
  <c r="E362" i="22"/>
  <c r="C362" i="22"/>
  <c r="G361" i="22"/>
  <c r="I361" i="22" s="1"/>
  <c r="F361" i="22"/>
  <c r="E361" i="22"/>
  <c r="C361" i="22"/>
  <c r="F360" i="22"/>
  <c r="E360" i="22"/>
  <c r="C360" i="22"/>
  <c r="G359" i="22"/>
  <c r="I359" i="22" s="1"/>
  <c r="F359" i="22"/>
  <c r="E359" i="22"/>
  <c r="C359" i="22"/>
  <c r="D352" i="22"/>
  <c r="D353" i="22"/>
  <c r="D354" i="22"/>
  <c r="D355" i="22"/>
  <c r="E356" i="22"/>
  <c r="F356" i="22"/>
  <c r="D356" i="22"/>
  <c r="C356" i="22"/>
  <c r="F355" i="22"/>
  <c r="E355" i="22"/>
  <c r="C355" i="22"/>
  <c r="F354" i="22"/>
  <c r="E354" i="22"/>
  <c r="C354" i="22"/>
  <c r="F353" i="22"/>
  <c r="E353" i="22"/>
  <c r="C353" i="22"/>
  <c r="G352" i="22"/>
  <c r="I352" i="22" s="1"/>
  <c r="F352" i="22"/>
  <c r="E352" i="22"/>
  <c r="C352" i="22"/>
  <c r="B351" i="22"/>
  <c r="A351" i="22"/>
  <c r="B350" i="22"/>
  <c r="A350" i="22"/>
  <c r="B349" i="22"/>
  <c r="A349" i="22"/>
  <c r="B348" i="22"/>
  <c r="A348" i="22"/>
  <c r="D343" i="22"/>
  <c r="D344" i="22"/>
  <c r="D345" i="22"/>
  <c r="D346" i="22"/>
  <c r="E347" i="22"/>
  <c r="F347" i="22"/>
  <c r="D347" i="22"/>
  <c r="C347" i="22"/>
  <c r="G346" i="22"/>
  <c r="I346" i="22" s="1"/>
  <c r="F346" i="22"/>
  <c r="E346" i="22"/>
  <c r="C346" i="22"/>
  <c r="G345" i="22"/>
  <c r="I345" i="22" s="1"/>
  <c r="F345" i="22"/>
  <c r="E345" i="22"/>
  <c r="C345" i="22"/>
  <c r="G344" i="22"/>
  <c r="I344" i="22" s="1"/>
  <c r="F344" i="22"/>
  <c r="E344" i="22"/>
  <c r="C344" i="22"/>
  <c r="G343" i="22"/>
  <c r="I343" i="22" s="1"/>
  <c r="F343" i="22"/>
  <c r="E343" i="22"/>
  <c r="C343" i="22"/>
  <c r="B342" i="22"/>
  <c r="A342" i="22"/>
  <c r="G341" i="22"/>
  <c r="D337" i="22"/>
  <c r="D338" i="22"/>
  <c r="D339" i="22"/>
  <c r="D340" i="22"/>
  <c r="E341" i="22"/>
  <c r="F341" i="22"/>
  <c r="D341" i="22"/>
  <c r="C341" i="22"/>
  <c r="F340" i="22"/>
  <c r="E340" i="22"/>
  <c r="C340" i="22"/>
  <c r="F339" i="22"/>
  <c r="E339" i="22"/>
  <c r="C339" i="22"/>
  <c r="F338" i="22"/>
  <c r="E338" i="22"/>
  <c r="C338" i="22"/>
  <c r="G337" i="22"/>
  <c r="I337" i="22" s="1"/>
  <c r="F337" i="22"/>
  <c r="E337" i="22"/>
  <c r="C337" i="22"/>
  <c r="B336" i="22"/>
  <c r="A336" i="22"/>
  <c r="B335" i="22"/>
  <c r="A335" i="22"/>
  <c r="G334" i="22"/>
  <c r="D330" i="22"/>
  <c r="D331" i="22"/>
  <c r="D332" i="22"/>
  <c r="D333" i="22"/>
  <c r="E334" i="22"/>
  <c r="F334" i="22"/>
  <c r="D334" i="22"/>
  <c r="C334" i="22"/>
  <c r="F333" i="22"/>
  <c r="E333" i="22"/>
  <c r="C333" i="22"/>
  <c r="F332" i="22"/>
  <c r="E332" i="22"/>
  <c r="C332" i="22"/>
  <c r="F331" i="22"/>
  <c r="E331" i="22"/>
  <c r="C331" i="22"/>
  <c r="G330" i="22"/>
  <c r="I330" i="22" s="1"/>
  <c r="F330" i="22"/>
  <c r="E330" i="22"/>
  <c r="C330" i="22"/>
  <c r="B329" i="22"/>
  <c r="A329" i="22"/>
  <c r="G328" i="22"/>
  <c r="D324" i="22"/>
  <c r="D325" i="22"/>
  <c r="D326" i="22"/>
  <c r="D327" i="22"/>
  <c r="E328" i="22"/>
  <c r="F328" i="22"/>
  <c r="D328" i="22"/>
  <c r="C328" i="22"/>
  <c r="G327" i="22"/>
  <c r="I327" i="22" s="1"/>
  <c r="F327" i="22"/>
  <c r="E327" i="22"/>
  <c r="C327" i="22"/>
  <c r="F326" i="22"/>
  <c r="E326" i="22"/>
  <c r="C326" i="22"/>
  <c r="G325" i="22"/>
  <c r="I325" i="22" s="1"/>
  <c r="F325" i="22"/>
  <c r="E325" i="22"/>
  <c r="C325" i="22"/>
  <c r="G324" i="22"/>
  <c r="I324" i="22" s="1"/>
  <c r="F324" i="22"/>
  <c r="E324" i="22"/>
  <c r="C324" i="22"/>
  <c r="B323" i="22"/>
  <c r="A323" i="22"/>
  <c r="B322" i="22"/>
  <c r="A322" i="22"/>
  <c r="B321" i="22"/>
  <c r="A321" i="22"/>
  <c r="B320" i="22"/>
  <c r="A320" i="22"/>
  <c r="B319" i="22"/>
  <c r="A319" i="22"/>
  <c r="D314" i="22"/>
  <c r="D315" i="22"/>
  <c r="D316" i="22"/>
  <c r="D317" i="22"/>
  <c r="E318" i="22"/>
  <c r="F318" i="22"/>
  <c r="D318" i="22"/>
  <c r="C318" i="22"/>
  <c r="G317" i="22"/>
  <c r="I317" i="22" s="1"/>
  <c r="F317" i="22"/>
  <c r="E317" i="22"/>
  <c r="C317" i="22"/>
  <c r="F316" i="22"/>
  <c r="E316" i="22"/>
  <c r="C316" i="22"/>
  <c r="F315" i="22"/>
  <c r="E315" i="22"/>
  <c r="C315" i="22"/>
  <c r="G314" i="22"/>
  <c r="I314" i="22" s="1"/>
  <c r="F314" i="22"/>
  <c r="E314" i="22"/>
  <c r="C314" i="22"/>
  <c r="B313" i="22"/>
  <c r="A313" i="22"/>
  <c r="G312" i="22"/>
  <c r="D308" i="22"/>
  <c r="D309" i="22"/>
  <c r="D310" i="22"/>
  <c r="D311" i="22"/>
  <c r="E312" i="22"/>
  <c r="F312" i="22"/>
  <c r="D312" i="22"/>
  <c r="C312" i="22"/>
  <c r="F311" i="22"/>
  <c r="E311" i="22"/>
  <c r="C311" i="22"/>
  <c r="F310" i="22"/>
  <c r="E310" i="22"/>
  <c r="C310" i="22"/>
  <c r="F309" i="22"/>
  <c r="E309" i="22"/>
  <c r="C309" i="22"/>
  <c r="G308" i="22"/>
  <c r="I308" i="22" s="1"/>
  <c r="F308" i="22"/>
  <c r="E308" i="22"/>
  <c r="C308" i="22"/>
  <c r="B307" i="22"/>
  <c r="A307" i="22"/>
  <c r="D302" i="22"/>
  <c r="D303" i="22"/>
  <c r="D304" i="22"/>
  <c r="D305" i="22"/>
  <c r="E306" i="22"/>
  <c r="F306" i="22"/>
  <c r="D306" i="22"/>
  <c r="C306" i="22"/>
  <c r="G305" i="22"/>
  <c r="I305" i="22" s="1"/>
  <c r="F305" i="22"/>
  <c r="E305" i="22"/>
  <c r="C305" i="22"/>
  <c r="G304" i="22"/>
  <c r="I304" i="22" s="1"/>
  <c r="F304" i="22"/>
  <c r="E304" i="22"/>
  <c r="C304" i="22"/>
  <c r="F303" i="22"/>
  <c r="E303" i="22"/>
  <c r="C303" i="22"/>
  <c r="G302" i="22"/>
  <c r="I302" i="22" s="1"/>
  <c r="F302" i="22"/>
  <c r="E302" i="22"/>
  <c r="C302" i="22"/>
  <c r="B301" i="22"/>
  <c r="A301" i="22"/>
  <c r="B300" i="22"/>
  <c r="A300" i="22"/>
  <c r="B299" i="22"/>
  <c r="A299" i="22"/>
  <c r="B298" i="22"/>
  <c r="A298" i="22"/>
  <c r="D292" i="22"/>
  <c r="D293" i="22"/>
  <c r="D294" i="22"/>
  <c r="D295" i="22"/>
  <c r="D296" i="22"/>
  <c r="E297" i="22"/>
  <c r="F297" i="22"/>
  <c r="D297" i="22"/>
  <c r="C297" i="22"/>
  <c r="G296" i="22"/>
  <c r="I296" i="22" s="1"/>
  <c r="F296" i="22"/>
  <c r="E296" i="22"/>
  <c r="C296" i="22"/>
  <c r="G295" i="22"/>
  <c r="I295" i="22" s="1"/>
  <c r="F295" i="22"/>
  <c r="E295" i="22"/>
  <c r="C295" i="22"/>
  <c r="G294" i="22"/>
  <c r="I294" i="22" s="1"/>
  <c r="F294" i="22"/>
  <c r="E294" i="22"/>
  <c r="C294" i="22"/>
  <c r="F293" i="22"/>
  <c r="E293" i="22"/>
  <c r="C293" i="22"/>
  <c r="G292" i="22"/>
  <c r="I292" i="22" s="1"/>
  <c r="F292" i="22"/>
  <c r="E292" i="22"/>
  <c r="C292" i="22"/>
  <c r="B291" i="22"/>
  <c r="A291" i="22"/>
  <c r="D285" i="22"/>
  <c r="D286" i="22"/>
  <c r="D287" i="22"/>
  <c r="D288" i="22"/>
  <c r="D289" i="22"/>
  <c r="E290" i="22"/>
  <c r="F290" i="22"/>
  <c r="D290" i="22"/>
  <c r="C290" i="22"/>
  <c r="F289" i="22"/>
  <c r="E289" i="22"/>
  <c r="C289" i="22"/>
  <c r="G288" i="22"/>
  <c r="I288" i="22" s="1"/>
  <c r="F288" i="22"/>
  <c r="E288" i="22"/>
  <c r="C288" i="22"/>
  <c r="F287" i="22"/>
  <c r="E287" i="22"/>
  <c r="C287" i="22"/>
  <c r="F286" i="22"/>
  <c r="E286" i="22"/>
  <c r="C286" i="22"/>
  <c r="G285" i="22"/>
  <c r="I285" i="22" s="1"/>
  <c r="F285" i="22"/>
  <c r="E285" i="22"/>
  <c r="C285" i="22"/>
  <c r="B284" i="22"/>
  <c r="A284" i="22"/>
  <c r="B283" i="22"/>
  <c r="A283" i="22"/>
  <c r="B282" i="22"/>
  <c r="A282" i="22"/>
  <c r="B281" i="22"/>
  <c r="A281" i="22"/>
  <c r="D276" i="22"/>
  <c r="D277" i="22"/>
  <c r="D278" i="22"/>
  <c r="D279" i="22"/>
  <c r="E280" i="22"/>
  <c r="F280" i="22"/>
  <c r="D280" i="22"/>
  <c r="C280" i="22"/>
  <c r="F279" i="22"/>
  <c r="E279" i="22"/>
  <c r="C279" i="22"/>
  <c r="F278" i="22"/>
  <c r="E278" i="22"/>
  <c r="C278" i="22"/>
  <c r="F277" i="22"/>
  <c r="E277" i="22"/>
  <c r="C277" i="22"/>
  <c r="G276" i="22"/>
  <c r="I276" i="22" s="1"/>
  <c r="F276" i="22"/>
  <c r="E276" i="22"/>
  <c r="C276" i="22"/>
  <c r="B275" i="22"/>
  <c r="A275" i="22"/>
  <c r="D270" i="22"/>
  <c r="D271" i="22"/>
  <c r="D272" i="22"/>
  <c r="D273" i="22"/>
  <c r="E274" i="22"/>
  <c r="F274" i="22"/>
  <c r="D274" i="22"/>
  <c r="C274" i="22"/>
  <c r="F273" i="22"/>
  <c r="E273" i="22"/>
  <c r="C273" i="22"/>
  <c r="F272" i="22"/>
  <c r="E272" i="22"/>
  <c r="C272" i="22"/>
  <c r="F271" i="22"/>
  <c r="E271" i="22"/>
  <c r="C271" i="22"/>
  <c r="G270" i="22"/>
  <c r="I270" i="22" s="1"/>
  <c r="F270" i="22"/>
  <c r="E270" i="22"/>
  <c r="C270" i="22"/>
  <c r="B269" i="22"/>
  <c r="A269" i="22"/>
  <c r="B268" i="22"/>
  <c r="A268" i="22"/>
  <c r="B267" i="22"/>
  <c r="A267" i="22"/>
  <c r="B266" i="22"/>
  <c r="A266" i="22"/>
  <c r="B265" i="22"/>
  <c r="A265" i="22"/>
  <c r="B264" i="22"/>
  <c r="A264" i="22"/>
  <c r="B263" i="22"/>
  <c r="A263" i="22"/>
  <c r="B262" i="22"/>
  <c r="A262" i="22"/>
  <c r="B261" i="22"/>
  <c r="A261" i="22"/>
  <c r="B260" i="22"/>
  <c r="A260" i="22"/>
  <c r="B259" i="22"/>
  <c r="A259" i="22"/>
  <c r="B258" i="22"/>
  <c r="A258" i="22"/>
  <c r="B257" i="22"/>
  <c r="A257" i="22"/>
  <c r="B256" i="22"/>
  <c r="A256" i="22"/>
  <c r="B255" i="22"/>
  <c r="A255" i="22"/>
  <c r="B254" i="22"/>
  <c r="A254" i="22"/>
  <c r="B253" i="22"/>
  <c r="A253" i="22"/>
  <c r="B252" i="22"/>
  <c r="A252" i="22"/>
  <c r="B251" i="22"/>
  <c r="A251" i="22"/>
  <c r="B250" i="22"/>
  <c r="A250" i="22"/>
  <c r="B249" i="22"/>
  <c r="A249" i="22"/>
  <c r="B248" i="22"/>
  <c r="A248" i="22"/>
  <c r="B247" i="22"/>
  <c r="A247" i="22"/>
  <c r="B246" i="22"/>
  <c r="A246" i="22"/>
  <c r="B245" i="22"/>
  <c r="A245" i="22"/>
  <c r="B244" i="22"/>
  <c r="A244" i="22"/>
  <c r="B243" i="22"/>
  <c r="A243" i="22"/>
  <c r="B242" i="22"/>
  <c r="A242" i="22"/>
  <c r="B241" i="22"/>
  <c r="A241" i="22"/>
  <c r="B240" i="22"/>
  <c r="A240" i="22"/>
  <c r="B239" i="22"/>
  <c r="A239" i="22"/>
  <c r="B238" i="22"/>
  <c r="A238" i="22"/>
  <c r="B237" i="22"/>
  <c r="A237" i="22"/>
  <c r="B236" i="22"/>
  <c r="A236" i="22"/>
  <c r="D231" i="22"/>
  <c r="D232" i="22"/>
  <c r="D233" i="22"/>
  <c r="D234" i="22"/>
  <c r="E235" i="22"/>
  <c r="F235" i="22"/>
  <c r="D235" i="22"/>
  <c r="C235" i="22"/>
  <c r="F234" i="22"/>
  <c r="E234" i="22"/>
  <c r="C234" i="22"/>
  <c r="F233" i="22"/>
  <c r="E233" i="22"/>
  <c r="C233" i="22"/>
  <c r="F232" i="22"/>
  <c r="E232" i="22"/>
  <c r="C232" i="22"/>
  <c r="G231" i="22"/>
  <c r="I231" i="22" s="1"/>
  <c r="F231" i="22"/>
  <c r="E231" i="22"/>
  <c r="C231" i="22"/>
  <c r="B230" i="22"/>
  <c r="A230" i="22"/>
  <c r="G229" i="22"/>
  <c r="D225" i="22"/>
  <c r="D226" i="22"/>
  <c r="D227" i="22"/>
  <c r="D228" i="22"/>
  <c r="E229" i="22"/>
  <c r="F229" i="22"/>
  <c r="D229" i="22"/>
  <c r="C229" i="22"/>
  <c r="G228" i="22"/>
  <c r="I228" i="22" s="1"/>
  <c r="F228" i="22"/>
  <c r="E228" i="22"/>
  <c r="C228" i="22"/>
  <c r="F227" i="22"/>
  <c r="E227" i="22"/>
  <c r="C227" i="22"/>
  <c r="F226" i="22"/>
  <c r="E226" i="22"/>
  <c r="C226" i="22"/>
  <c r="G225" i="22"/>
  <c r="I225" i="22" s="1"/>
  <c r="F225" i="22"/>
  <c r="E225" i="22"/>
  <c r="C225" i="22"/>
  <c r="B224" i="22"/>
  <c r="A224" i="22"/>
  <c r="D219" i="22"/>
  <c r="D220" i="22"/>
  <c r="D221" i="22"/>
  <c r="D222" i="22"/>
  <c r="E223" i="22"/>
  <c r="F223" i="22"/>
  <c r="D223" i="22"/>
  <c r="C223" i="22"/>
  <c r="F222" i="22"/>
  <c r="E222" i="22"/>
  <c r="C222" i="22"/>
  <c r="F221" i="22"/>
  <c r="E221" i="22"/>
  <c r="C221" i="22"/>
  <c r="F220" i="22"/>
  <c r="E220" i="22"/>
  <c r="C220" i="22"/>
  <c r="G219" i="22"/>
  <c r="I219" i="22" s="1"/>
  <c r="F219" i="22"/>
  <c r="E219" i="22"/>
  <c r="C219" i="22"/>
  <c r="B218" i="22"/>
  <c r="A218" i="22"/>
  <c r="B217" i="22"/>
  <c r="A217" i="22"/>
  <c r="B216" i="22"/>
  <c r="A216" i="22"/>
  <c r="G215" i="22"/>
  <c r="D211" i="22"/>
  <c r="D212" i="22"/>
  <c r="D213" i="22"/>
  <c r="D214" i="22"/>
  <c r="E215" i="22"/>
  <c r="F215" i="22"/>
  <c r="D215" i="22"/>
  <c r="C215" i="22"/>
  <c r="G214" i="22"/>
  <c r="I214" i="22" s="1"/>
  <c r="F214" i="22"/>
  <c r="E214" i="22"/>
  <c r="C214" i="22"/>
  <c r="G213" i="22"/>
  <c r="I213" i="22" s="1"/>
  <c r="F213" i="22"/>
  <c r="E213" i="22"/>
  <c r="C213" i="22"/>
  <c r="F212" i="22"/>
  <c r="E212" i="22"/>
  <c r="C212" i="22"/>
  <c r="G211" i="22"/>
  <c r="I211" i="22" s="1"/>
  <c r="F211" i="22"/>
  <c r="E211" i="22"/>
  <c r="C211" i="22"/>
  <c r="B210" i="22"/>
  <c r="A210" i="22"/>
  <c r="D205" i="22"/>
  <c r="D206" i="22"/>
  <c r="D207" i="22"/>
  <c r="D208" i="22"/>
  <c r="E209" i="22"/>
  <c r="F209" i="22"/>
  <c r="D209" i="22"/>
  <c r="C209" i="22"/>
  <c r="F208" i="22"/>
  <c r="E208" i="22"/>
  <c r="C208" i="22"/>
  <c r="G207" i="22"/>
  <c r="I207" i="22" s="1"/>
  <c r="F207" i="22"/>
  <c r="E207" i="22"/>
  <c r="C207" i="22"/>
  <c r="F206" i="22"/>
  <c r="E206" i="22"/>
  <c r="C206" i="22"/>
  <c r="G205" i="22"/>
  <c r="I205" i="22" s="1"/>
  <c r="F205" i="22"/>
  <c r="E205" i="22"/>
  <c r="C205" i="22"/>
  <c r="B204" i="22"/>
  <c r="A204" i="22"/>
  <c r="B203" i="22"/>
  <c r="A203" i="22"/>
  <c r="G202" i="22"/>
  <c r="D198" i="22"/>
  <c r="D199" i="22"/>
  <c r="D200" i="22"/>
  <c r="D201" i="22"/>
  <c r="E202" i="22"/>
  <c r="F202" i="22"/>
  <c r="D202" i="22"/>
  <c r="C202" i="22"/>
  <c r="F201" i="22"/>
  <c r="E201" i="22"/>
  <c r="C201" i="22"/>
  <c r="F200" i="22"/>
  <c r="E200" i="22"/>
  <c r="C200" i="22"/>
  <c r="F199" i="22"/>
  <c r="E199" i="22"/>
  <c r="C199" i="22"/>
  <c r="G198" i="22"/>
  <c r="I198" i="22" s="1"/>
  <c r="F198" i="22"/>
  <c r="E198" i="22"/>
  <c r="C198" i="22"/>
  <c r="B197" i="22"/>
  <c r="A197" i="22"/>
  <c r="B196" i="22"/>
  <c r="A196" i="22"/>
  <c r="B195" i="22"/>
  <c r="A195" i="22"/>
  <c r="D190" i="22"/>
  <c r="D191" i="22"/>
  <c r="D192" i="22"/>
  <c r="D193" i="22"/>
  <c r="E194" i="22"/>
  <c r="F194" i="22"/>
  <c r="D194" i="22"/>
  <c r="C194" i="22"/>
  <c r="G193" i="22"/>
  <c r="I193" i="22" s="1"/>
  <c r="F193" i="22"/>
  <c r="E193" i="22"/>
  <c r="C193" i="22"/>
  <c r="F192" i="22"/>
  <c r="E192" i="22"/>
  <c r="C192" i="22"/>
  <c r="G191" i="22"/>
  <c r="I191" i="22" s="1"/>
  <c r="F191" i="22"/>
  <c r="E191" i="22"/>
  <c r="C191" i="22"/>
  <c r="G190" i="22"/>
  <c r="I190" i="22" s="1"/>
  <c r="F190" i="22"/>
  <c r="E190" i="22"/>
  <c r="C190" i="22"/>
  <c r="B189" i="22"/>
  <c r="A189" i="22"/>
  <c r="B188" i="22"/>
  <c r="A188" i="22"/>
  <c r="D183" i="22"/>
  <c r="D184" i="22"/>
  <c r="D185" i="22"/>
  <c r="D186" i="22"/>
  <c r="E187" i="22"/>
  <c r="F187" i="22"/>
  <c r="D187" i="22"/>
  <c r="C187" i="22"/>
  <c r="F186" i="22"/>
  <c r="E186" i="22"/>
  <c r="C186" i="22"/>
  <c r="F185" i="22"/>
  <c r="E185" i="22"/>
  <c r="C185" i="22"/>
  <c r="F184" i="22"/>
  <c r="E184" i="22"/>
  <c r="C184" i="22"/>
  <c r="G183" i="22"/>
  <c r="I183" i="22" s="1"/>
  <c r="F183" i="22"/>
  <c r="E183" i="22"/>
  <c r="C183" i="22"/>
  <c r="B182" i="22"/>
  <c r="A182" i="22"/>
  <c r="B181" i="22"/>
  <c r="A181" i="22"/>
  <c r="B180" i="22"/>
  <c r="A180" i="22"/>
  <c r="G179" i="22"/>
  <c r="D175" i="22"/>
  <c r="D176" i="22"/>
  <c r="D177" i="22"/>
  <c r="D178" i="22"/>
  <c r="E179" i="22"/>
  <c r="F179" i="22"/>
  <c r="D179" i="22"/>
  <c r="C179" i="22"/>
  <c r="F178" i="22"/>
  <c r="E178" i="22"/>
  <c r="C178" i="22"/>
  <c r="F177" i="22"/>
  <c r="E177" i="22"/>
  <c r="C177" i="22"/>
  <c r="F176" i="22"/>
  <c r="E176" i="22"/>
  <c r="C176" i="22"/>
  <c r="G175" i="22"/>
  <c r="I175" i="22" s="1"/>
  <c r="F175" i="22"/>
  <c r="E175" i="22"/>
  <c r="C175" i="22"/>
  <c r="B174" i="22"/>
  <c r="A174" i="22"/>
  <c r="B173" i="22"/>
  <c r="A173" i="22"/>
  <c r="B172" i="22"/>
  <c r="A172" i="22"/>
  <c r="B171" i="22"/>
  <c r="A171" i="22"/>
  <c r="D166" i="22"/>
  <c r="D167" i="22"/>
  <c r="D168" i="22"/>
  <c r="D169" i="22"/>
  <c r="E170" i="22"/>
  <c r="F170" i="22"/>
  <c r="D170" i="22"/>
  <c r="C170" i="22"/>
  <c r="F169" i="22"/>
  <c r="E169" i="22"/>
  <c r="C169" i="22"/>
  <c r="F168" i="22"/>
  <c r="E168" i="22"/>
  <c r="C168" i="22"/>
  <c r="F167" i="22"/>
  <c r="E167" i="22"/>
  <c r="C167" i="22"/>
  <c r="G166" i="22"/>
  <c r="I166" i="22" s="1"/>
  <c r="F166" i="22"/>
  <c r="E166" i="22"/>
  <c r="C166" i="22"/>
  <c r="B163" i="22"/>
  <c r="A163" i="22"/>
  <c r="G162" i="22"/>
  <c r="D158" i="22"/>
  <c r="D159" i="22"/>
  <c r="D160" i="22"/>
  <c r="D161" i="22"/>
  <c r="E162" i="22"/>
  <c r="F162" i="22"/>
  <c r="D162" i="22"/>
  <c r="C162" i="22"/>
  <c r="F161" i="22"/>
  <c r="E161" i="22"/>
  <c r="C161" i="22"/>
  <c r="F160" i="22"/>
  <c r="E160" i="22"/>
  <c r="C160" i="22"/>
  <c r="G159" i="22"/>
  <c r="I159" i="22" s="1"/>
  <c r="F159" i="22"/>
  <c r="E159" i="22"/>
  <c r="C159" i="22"/>
  <c r="G158" i="22"/>
  <c r="I158" i="22" s="1"/>
  <c r="F158" i="22"/>
  <c r="E158" i="22"/>
  <c r="C158" i="22"/>
  <c r="B157" i="22"/>
  <c r="A157" i="22"/>
  <c r="B156" i="22"/>
  <c r="A156" i="22"/>
  <c r="B155" i="22"/>
  <c r="A155" i="22"/>
  <c r="B154" i="22"/>
  <c r="A154" i="22"/>
  <c r="G153" i="22"/>
  <c r="D149" i="22"/>
  <c r="D150" i="22"/>
  <c r="D151" i="22"/>
  <c r="D152" i="22"/>
  <c r="E153" i="22"/>
  <c r="F153" i="22"/>
  <c r="D153" i="22"/>
  <c r="C153" i="22"/>
  <c r="F152" i="22"/>
  <c r="E152" i="22"/>
  <c r="C152" i="22"/>
  <c r="F151" i="22"/>
  <c r="E151" i="22"/>
  <c r="C151" i="22"/>
  <c r="F150" i="22"/>
  <c r="E150" i="22"/>
  <c r="C150" i="22"/>
  <c r="G149" i="22"/>
  <c r="I149" i="22" s="1"/>
  <c r="F149" i="22"/>
  <c r="E149" i="22"/>
  <c r="C149" i="22"/>
  <c r="B148" i="22"/>
  <c r="A148" i="22"/>
  <c r="G147" i="22"/>
  <c r="D143" i="22"/>
  <c r="D144" i="22"/>
  <c r="D145" i="22"/>
  <c r="D146" i="22"/>
  <c r="E147" i="22"/>
  <c r="F147" i="22"/>
  <c r="D147" i="22"/>
  <c r="C147" i="22"/>
  <c r="G146" i="22"/>
  <c r="I146" i="22" s="1"/>
  <c r="F146" i="22"/>
  <c r="E146" i="22"/>
  <c r="C146" i="22"/>
  <c r="G145" i="22"/>
  <c r="I145" i="22" s="1"/>
  <c r="F145" i="22"/>
  <c r="E145" i="22"/>
  <c r="C145" i="22"/>
  <c r="F144" i="22"/>
  <c r="E144" i="22"/>
  <c r="C144" i="22"/>
  <c r="G143" i="22"/>
  <c r="I143" i="22" s="1"/>
  <c r="F143" i="22"/>
  <c r="E143" i="22"/>
  <c r="C143" i="22"/>
  <c r="B142" i="22"/>
  <c r="A142" i="22"/>
  <c r="B141" i="22"/>
  <c r="A141" i="22"/>
  <c r="G140" i="22"/>
  <c r="D136" i="22"/>
  <c r="D137" i="22"/>
  <c r="D138" i="22"/>
  <c r="D139" i="22"/>
  <c r="E140" i="22"/>
  <c r="F140" i="22"/>
  <c r="D140" i="22"/>
  <c r="C140" i="22"/>
  <c r="F139" i="22"/>
  <c r="E139" i="22"/>
  <c r="C139" i="22"/>
  <c r="F138" i="22"/>
  <c r="E138" i="22"/>
  <c r="C138" i="22"/>
  <c r="F137" i="22"/>
  <c r="E137" i="22"/>
  <c r="C137" i="22"/>
  <c r="G136" i="22"/>
  <c r="I136" i="22" s="1"/>
  <c r="F136" i="22"/>
  <c r="E136" i="22"/>
  <c r="C136" i="22"/>
  <c r="B135" i="22"/>
  <c r="A135" i="22"/>
  <c r="D130" i="22"/>
  <c r="D131" i="22"/>
  <c r="D132" i="22"/>
  <c r="D133" i="22"/>
  <c r="E134" i="22"/>
  <c r="F134" i="22"/>
  <c r="D134" i="22"/>
  <c r="C134" i="22"/>
  <c r="G133" i="22"/>
  <c r="I133" i="22" s="1"/>
  <c r="F133" i="22"/>
  <c r="E133" i="22"/>
  <c r="C133" i="22"/>
  <c r="G132" i="22"/>
  <c r="I132" i="22" s="1"/>
  <c r="F132" i="22"/>
  <c r="E132" i="22"/>
  <c r="C132" i="22"/>
  <c r="F131" i="22"/>
  <c r="E131" i="22"/>
  <c r="C131" i="22"/>
  <c r="G130" i="22"/>
  <c r="I130" i="22" s="1"/>
  <c r="F130" i="22"/>
  <c r="E130" i="22"/>
  <c r="C130" i="22"/>
  <c r="I129" i="22"/>
  <c r="B129" i="22"/>
  <c r="A129" i="22"/>
  <c r="B128" i="22"/>
  <c r="A128" i="22"/>
  <c r="B127" i="22"/>
  <c r="A127" i="22"/>
  <c r="B126" i="22"/>
  <c r="A126" i="22"/>
  <c r="B125" i="22"/>
  <c r="A125" i="22"/>
  <c r="G124" i="22"/>
  <c r="D120" i="22"/>
  <c r="D121" i="22"/>
  <c r="D122" i="22"/>
  <c r="D123" i="22"/>
  <c r="E124" i="22"/>
  <c r="F124" i="22"/>
  <c r="D124" i="22"/>
  <c r="C124" i="22"/>
  <c r="F123" i="22"/>
  <c r="E123" i="22"/>
  <c r="C123" i="22"/>
  <c r="F122" i="22"/>
  <c r="E122" i="22"/>
  <c r="C122" i="22"/>
  <c r="F121" i="22"/>
  <c r="E121" i="22"/>
  <c r="C121" i="22"/>
  <c r="G120" i="22"/>
  <c r="I120" i="22" s="1"/>
  <c r="F120" i="22"/>
  <c r="E120" i="22"/>
  <c r="C120" i="22"/>
  <c r="B119" i="22"/>
  <c r="A119" i="22"/>
  <c r="D114" i="22"/>
  <c r="D115" i="22"/>
  <c r="D116" i="22"/>
  <c r="D117" i="22"/>
  <c r="E118" i="22"/>
  <c r="F118" i="22"/>
  <c r="D118" i="22"/>
  <c r="C118" i="22"/>
  <c r="G117" i="22"/>
  <c r="I117" i="22" s="1"/>
  <c r="F117" i="22"/>
  <c r="E117" i="22"/>
  <c r="C117" i="22"/>
  <c r="F116" i="22"/>
  <c r="E116" i="22"/>
  <c r="C116" i="22"/>
  <c r="G115" i="22"/>
  <c r="I115" i="22" s="1"/>
  <c r="F115" i="22"/>
  <c r="E115" i="22"/>
  <c r="C115" i="22"/>
  <c r="G114" i="22"/>
  <c r="I114" i="22" s="1"/>
  <c r="F114" i="22"/>
  <c r="E114" i="22"/>
  <c r="C114" i="22"/>
  <c r="B113" i="22"/>
  <c r="A113" i="22"/>
  <c r="D108" i="22"/>
  <c r="D109" i="22"/>
  <c r="D110" i="22"/>
  <c r="D111" i="22"/>
  <c r="E112" i="22"/>
  <c r="F112" i="22"/>
  <c r="D112" i="22"/>
  <c r="C112" i="22"/>
  <c r="F111" i="22"/>
  <c r="E111" i="22"/>
  <c r="C111" i="22"/>
  <c r="F110" i="22"/>
  <c r="E110" i="22"/>
  <c r="C110" i="22"/>
  <c r="F109" i="22"/>
  <c r="E109" i="22"/>
  <c r="C109" i="22"/>
  <c r="G108" i="22"/>
  <c r="I108" i="22" s="1"/>
  <c r="F108" i="22"/>
  <c r="E108" i="22"/>
  <c r="C108" i="22"/>
  <c r="B107" i="22"/>
  <c r="A107" i="22"/>
  <c r="B106" i="22"/>
  <c r="A106" i="22"/>
  <c r="B105" i="22"/>
  <c r="A105" i="22"/>
  <c r="B104" i="22"/>
  <c r="A104" i="22"/>
  <c r="D98" i="22"/>
  <c r="D99" i="22"/>
  <c r="D100" i="22"/>
  <c r="D101" i="22"/>
  <c r="D102" i="22"/>
  <c r="E103" i="22"/>
  <c r="F103" i="22"/>
  <c r="D103" i="22"/>
  <c r="C103" i="22"/>
  <c r="F102" i="22"/>
  <c r="E102" i="22"/>
  <c r="C102" i="22"/>
  <c r="F101" i="22"/>
  <c r="E101" i="22"/>
  <c r="C101" i="22"/>
  <c r="F100" i="22"/>
  <c r="E100" i="22"/>
  <c r="C100" i="22"/>
  <c r="F99" i="22"/>
  <c r="E99" i="22"/>
  <c r="C99" i="22"/>
  <c r="G98" i="22"/>
  <c r="I98" i="22" s="1"/>
  <c r="F98" i="22"/>
  <c r="E98" i="22"/>
  <c r="C98" i="22"/>
  <c r="B97" i="22"/>
  <c r="A97" i="22"/>
  <c r="B96" i="22"/>
  <c r="A96" i="22"/>
  <c r="B95" i="22"/>
  <c r="A95" i="22"/>
  <c r="G94" i="22"/>
  <c r="D89" i="22"/>
  <c r="D90" i="22"/>
  <c r="D91" i="22"/>
  <c r="D92" i="22"/>
  <c r="D93" i="22"/>
  <c r="E94" i="22"/>
  <c r="F94" i="22"/>
  <c r="D94" i="22"/>
  <c r="C94" i="22"/>
  <c r="F93" i="22"/>
  <c r="E93" i="22"/>
  <c r="C93" i="22"/>
  <c r="F92" i="22"/>
  <c r="E92" i="22"/>
  <c r="C92" i="22"/>
  <c r="F91" i="22"/>
  <c r="E91" i="22"/>
  <c r="C91" i="22"/>
  <c r="G90" i="22"/>
  <c r="I90" i="22" s="1"/>
  <c r="F90" i="22"/>
  <c r="E90" i="22"/>
  <c r="C90" i="22"/>
  <c r="G89" i="22"/>
  <c r="I89" i="22" s="1"/>
  <c r="F89" i="22"/>
  <c r="E89" i="22"/>
  <c r="C89" i="22"/>
  <c r="B88" i="22"/>
  <c r="A88" i="22"/>
  <c r="B87" i="22"/>
  <c r="A87" i="22"/>
  <c r="D82" i="22"/>
  <c r="D83" i="22"/>
  <c r="D84" i="22"/>
  <c r="D85" i="22"/>
  <c r="E86" i="22"/>
  <c r="F86" i="22"/>
  <c r="D86" i="22"/>
  <c r="C86" i="22"/>
  <c r="G85" i="22"/>
  <c r="I85" i="22" s="1"/>
  <c r="F85" i="22"/>
  <c r="E85" i="22"/>
  <c r="C85" i="22"/>
  <c r="F84" i="22"/>
  <c r="E84" i="22"/>
  <c r="C84" i="22"/>
  <c r="F83" i="22"/>
  <c r="E83" i="22"/>
  <c r="C83" i="22"/>
  <c r="G82" i="22"/>
  <c r="I82" i="22" s="1"/>
  <c r="F82" i="22"/>
  <c r="E82" i="22"/>
  <c r="C82" i="22"/>
  <c r="B81" i="22"/>
  <c r="A81" i="22"/>
  <c r="G80" i="22"/>
  <c r="D76" i="22"/>
  <c r="D77" i="22"/>
  <c r="D78" i="22"/>
  <c r="D79" i="22"/>
  <c r="E80" i="22"/>
  <c r="F80" i="22"/>
  <c r="D80" i="22"/>
  <c r="C80" i="22"/>
  <c r="G79" i="22"/>
  <c r="I79" i="22" s="1"/>
  <c r="F79" i="22"/>
  <c r="E79" i="22"/>
  <c r="C79" i="22"/>
  <c r="F78" i="22"/>
  <c r="E78" i="22"/>
  <c r="C78" i="22"/>
  <c r="F77" i="22"/>
  <c r="E77" i="22"/>
  <c r="C77" i="22"/>
  <c r="G76" i="22"/>
  <c r="I76" i="22" s="1"/>
  <c r="F76" i="22"/>
  <c r="E76" i="22"/>
  <c r="C76" i="22"/>
  <c r="B75" i="22"/>
  <c r="A75" i="22"/>
  <c r="B74" i="22"/>
  <c r="A74" i="22"/>
  <c r="B73" i="22"/>
  <c r="A73" i="22"/>
  <c r="B72" i="22"/>
  <c r="A72" i="22"/>
  <c r="B71" i="22"/>
  <c r="A71" i="22"/>
  <c r="B70" i="22"/>
  <c r="A70" i="22"/>
  <c r="B69" i="22"/>
  <c r="A69" i="22"/>
  <c r="B68" i="22"/>
  <c r="A68" i="22"/>
  <c r="B67" i="22"/>
  <c r="A67" i="22"/>
  <c r="B66" i="22"/>
  <c r="A66" i="22"/>
  <c r="B65" i="22"/>
  <c r="A65" i="22"/>
  <c r="B64" i="22"/>
  <c r="A64" i="22"/>
  <c r="B63" i="22"/>
  <c r="A63" i="22"/>
  <c r="B62" i="22"/>
  <c r="A62" i="22"/>
  <c r="B61" i="22"/>
  <c r="A61" i="22"/>
  <c r="B60" i="22"/>
  <c r="A60" i="22"/>
  <c r="B59" i="22"/>
  <c r="A59" i="22"/>
  <c r="B58" i="22"/>
  <c r="A58" i="22"/>
  <c r="B57" i="22"/>
  <c r="A57" i="22"/>
  <c r="B56" i="22"/>
  <c r="A56" i="22"/>
  <c r="B55" i="22"/>
  <c r="A55" i="22"/>
  <c r="B54" i="22"/>
  <c r="A54" i="22"/>
  <c r="B53" i="22"/>
  <c r="A53" i="22"/>
  <c r="D48" i="22"/>
  <c r="D49" i="22"/>
  <c r="D50" i="22"/>
  <c r="D51" i="22"/>
  <c r="E52" i="22"/>
  <c r="F52" i="22"/>
  <c r="D52" i="22"/>
  <c r="C52" i="22"/>
  <c r="F51" i="22"/>
  <c r="E51" i="22"/>
  <c r="C51" i="22"/>
  <c r="F50" i="22"/>
  <c r="E50" i="22"/>
  <c r="C50" i="22"/>
  <c r="F49" i="22"/>
  <c r="E49" i="22"/>
  <c r="C49" i="22"/>
  <c r="G48" i="22"/>
  <c r="I48" i="22" s="1"/>
  <c r="F48" i="22"/>
  <c r="E48" i="22"/>
  <c r="C48" i="22"/>
  <c r="B47" i="22"/>
  <c r="A47" i="22"/>
  <c r="B46" i="22"/>
  <c r="A46" i="22"/>
  <c r="G45" i="22"/>
  <c r="D41" i="22"/>
  <c r="D42" i="22"/>
  <c r="D43" i="22"/>
  <c r="D44" i="22"/>
  <c r="E45" i="22"/>
  <c r="F45" i="22"/>
  <c r="D45" i="22"/>
  <c r="C45" i="22"/>
  <c r="F44" i="22"/>
  <c r="E44" i="22"/>
  <c r="C44" i="22"/>
  <c r="G43" i="22"/>
  <c r="I43" i="22" s="1"/>
  <c r="F43" i="22"/>
  <c r="E43" i="22"/>
  <c r="C43" i="22"/>
  <c r="F42" i="22"/>
  <c r="E42" i="22"/>
  <c r="C42" i="22"/>
  <c r="G41" i="22"/>
  <c r="I41" i="22" s="1"/>
  <c r="F41" i="22"/>
  <c r="E41" i="22"/>
  <c r="C41" i="22"/>
  <c r="B40" i="22"/>
  <c r="A40" i="22"/>
  <c r="D35" i="22"/>
  <c r="D36" i="22"/>
  <c r="D37" i="22"/>
  <c r="D38" i="22"/>
  <c r="E39" i="22"/>
  <c r="F39" i="22"/>
  <c r="D39" i="22"/>
  <c r="C39" i="22"/>
  <c r="G38" i="22"/>
  <c r="I38" i="22" s="1"/>
  <c r="F38" i="22"/>
  <c r="E38" i="22"/>
  <c r="C38" i="22"/>
  <c r="F37" i="22"/>
  <c r="E37" i="22"/>
  <c r="C37" i="22"/>
  <c r="F36" i="22"/>
  <c r="E36" i="22"/>
  <c r="C36" i="22"/>
  <c r="G35" i="22"/>
  <c r="I35" i="22" s="1"/>
  <c r="F35" i="22"/>
  <c r="E35" i="22"/>
  <c r="C35" i="22"/>
  <c r="B34" i="22"/>
  <c r="A34" i="22"/>
  <c r="G33" i="22"/>
  <c r="D29" i="22"/>
  <c r="D30" i="22"/>
  <c r="D31" i="22"/>
  <c r="D32" i="22"/>
  <c r="E33" i="22"/>
  <c r="F33" i="22"/>
  <c r="D33" i="22"/>
  <c r="C33" i="22"/>
  <c r="F32" i="22"/>
  <c r="E32" i="22"/>
  <c r="C32" i="22"/>
  <c r="F31" i="22"/>
  <c r="E31" i="22"/>
  <c r="C31" i="22"/>
  <c r="F30" i="22"/>
  <c r="E30" i="22"/>
  <c r="C30" i="22"/>
  <c r="G29" i="22"/>
  <c r="I29" i="22" s="1"/>
  <c r="F29" i="22"/>
  <c r="E29" i="22"/>
  <c r="C29" i="22"/>
  <c r="B28" i="22"/>
  <c r="A28" i="22"/>
  <c r="D23" i="22"/>
  <c r="D24" i="22"/>
  <c r="D25" i="22"/>
  <c r="D26" i="22"/>
  <c r="E27" i="22"/>
  <c r="F27" i="22"/>
  <c r="D27" i="22"/>
  <c r="C27" i="22"/>
  <c r="F26" i="22"/>
  <c r="E26" i="22"/>
  <c r="C26" i="22"/>
  <c r="F25" i="22"/>
  <c r="E25" i="22"/>
  <c r="C25" i="22"/>
  <c r="F24" i="22"/>
  <c r="E24" i="22"/>
  <c r="C24" i="22"/>
  <c r="G23" i="22"/>
  <c r="I23" i="22" s="1"/>
  <c r="F23" i="22"/>
  <c r="E23" i="22"/>
  <c r="C23" i="22"/>
  <c r="B22" i="22"/>
  <c r="A22" i="22"/>
  <c r="B21" i="22"/>
  <c r="A21" i="22"/>
  <c r="B20" i="22"/>
  <c r="A20" i="22"/>
  <c r="G19" i="22"/>
  <c r="D15" i="22"/>
  <c r="D16" i="22"/>
  <c r="D17" i="22"/>
  <c r="D18" i="22"/>
  <c r="E19" i="22"/>
  <c r="F19" i="22"/>
  <c r="D19" i="22"/>
  <c r="C19" i="22"/>
  <c r="F18" i="22"/>
  <c r="E18" i="22"/>
  <c r="C18" i="22"/>
  <c r="G17" i="22"/>
  <c r="I17" i="22" s="1"/>
  <c r="F17" i="22"/>
  <c r="E17" i="22"/>
  <c r="C17" i="22"/>
  <c r="F16" i="22"/>
  <c r="E16" i="22"/>
  <c r="C16" i="22"/>
  <c r="G15" i="22"/>
  <c r="I15" i="22" s="1"/>
  <c r="F15" i="22"/>
  <c r="E15" i="22"/>
  <c r="C15" i="22"/>
  <c r="B12" i="22"/>
  <c r="A12" i="22"/>
  <c r="D7" i="22"/>
  <c r="D8" i="22"/>
  <c r="D9" i="22"/>
  <c r="D10" i="22"/>
  <c r="E11" i="22"/>
  <c r="F11" i="22"/>
  <c r="D11" i="22"/>
  <c r="C11" i="22"/>
  <c r="F10" i="22"/>
  <c r="E10" i="22"/>
  <c r="C10" i="22"/>
  <c r="G9" i="22"/>
  <c r="I9" i="22" s="1"/>
  <c r="F9" i="22"/>
  <c r="E9" i="22"/>
  <c r="C9" i="22"/>
  <c r="F8" i="22"/>
  <c r="E8" i="22"/>
  <c r="C8" i="22"/>
  <c r="G7" i="22"/>
  <c r="I7" i="22" s="1"/>
  <c r="F7" i="22"/>
  <c r="E7" i="22"/>
  <c r="C7" i="22"/>
  <c r="B6" i="22"/>
  <c r="A6" i="22"/>
  <c r="B5" i="22"/>
  <c r="A5" i="22"/>
  <c r="E11" i="21"/>
  <c r="E10" i="21"/>
  <c r="D10" i="21"/>
  <c r="C10" i="21"/>
  <c r="E9" i="21"/>
  <c r="D9" i="21"/>
  <c r="C9" i="21"/>
  <c r="E8" i="21"/>
  <c r="D8" i="21"/>
  <c r="C8" i="21"/>
  <c r="E7" i="21"/>
  <c r="D7" i="21"/>
  <c r="C7" i="21"/>
  <c r="C6" i="21"/>
  <c r="E5" i="21"/>
  <c r="C5" i="21"/>
  <c r="L35" i="58"/>
  <c r="L8" i="58"/>
  <c r="L7" i="58"/>
  <c r="L4" i="58"/>
  <c r="J23" i="65"/>
  <c r="A7" i="65"/>
  <c r="A9" i="65"/>
  <c r="A12" i="65"/>
  <c r="A13" i="65" s="1"/>
  <c r="A14" i="65" s="1"/>
  <c r="A15" i="65" s="1"/>
  <c r="A16" i="65" s="1"/>
  <c r="A18" i="65"/>
  <c r="A19" i="65" s="1"/>
  <c r="A20" i="65" s="1"/>
  <c r="A21" i="65" s="1"/>
  <c r="A22" i="65" s="1"/>
  <c r="I6" i="67"/>
  <c r="I5" i="67"/>
  <c r="I4" i="67"/>
  <c r="D9" i="68"/>
  <c r="E23" i="69"/>
  <c r="F20" i="69"/>
  <c r="F23" i="69" s="1"/>
  <c r="D23" i="69"/>
  <c r="C23" i="69"/>
  <c r="C27" i="79" s="1"/>
  <c r="B23" i="69"/>
  <c r="B29" i="77" s="1"/>
  <c r="E22" i="69"/>
  <c r="D22" i="69"/>
  <c r="C22" i="69"/>
  <c r="C26" i="79" s="1"/>
  <c r="B22" i="69"/>
  <c r="B47" i="78" s="1"/>
  <c r="E21" i="69"/>
  <c r="D21" i="69"/>
  <c r="C21" i="69"/>
  <c r="C25" i="79" s="1"/>
  <c r="B21" i="69"/>
  <c r="B27" i="77" s="1"/>
  <c r="E20" i="69"/>
  <c r="D20" i="69"/>
  <c r="C20" i="69"/>
  <c r="C24" i="79" s="1"/>
  <c r="B20" i="69"/>
  <c r="B24" i="79" s="1"/>
  <c r="E17" i="69"/>
  <c r="H18" i="72"/>
  <c r="I18" i="72" s="1"/>
  <c r="H17" i="72"/>
  <c r="I17" i="72" s="1"/>
  <c r="H16" i="72"/>
  <c r="I16" i="72" s="1"/>
  <c r="G17" i="75"/>
  <c r="G18" i="75"/>
  <c r="G19" i="75"/>
  <c r="G23" i="75"/>
  <c r="G24" i="75"/>
  <c r="G25" i="75"/>
  <c r="G27" i="75"/>
  <c r="G28" i="75"/>
  <c r="G29" i="75"/>
  <c r="F6" i="75"/>
  <c r="D17" i="75"/>
  <c r="D18" i="75"/>
  <c r="D19" i="75"/>
  <c r="D23" i="75"/>
  <c r="D24" i="75"/>
  <c r="D25" i="75"/>
  <c r="D27" i="75"/>
  <c r="D28" i="75"/>
  <c r="D29" i="75"/>
  <c r="E11" i="75"/>
  <c r="C11" i="75"/>
  <c r="E10" i="75"/>
  <c r="D10" i="75"/>
  <c r="C10" i="75"/>
  <c r="E9" i="75"/>
  <c r="D9" i="75"/>
  <c r="C9" i="75"/>
  <c r="E8" i="75"/>
  <c r="D8" i="75"/>
  <c r="C8" i="75"/>
  <c r="E7" i="75"/>
  <c r="D7" i="75"/>
  <c r="C7" i="75"/>
  <c r="E6" i="75"/>
  <c r="D6" i="75"/>
  <c r="C6" i="75"/>
  <c r="E5" i="75"/>
  <c r="D5" i="75"/>
  <c r="C5" i="75"/>
  <c r="G9" i="74"/>
  <c r="G13" i="74" s="1"/>
  <c r="L7" i="74"/>
  <c r="L8" i="74" s="1"/>
  <c r="D7" i="74"/>
  <c r="D11" i="74" s="1"/>
  <c r="D8" i="74"/>
  <c r="L11" i="74"/>
  <c r="L12" i="74" s="1"/>
  <c r="L15" i="74"/>
  <c r="L16" i="74" s="1"/>
  <c r="L20" i="74"/>
  <c r="L21" i="74" s="1"/>
  <c r="L24" i="74"/>
  <c r="L25" i="74" s="1"/>
  <c r="L28" i="74"/>
  <c r="L29" i="74" s="1"/>
  <c r="G7" i="74"/>
  <c r="H7" i="74"/>
  <c r="H8" i="74" s="1"/>
  <c r="H11" i="74"/>
  <c r="H15" i="74"/>
  <c r="H16" i="74" s="1"/>
  <c r="H20" i="74"/>
  <c r="H21" i="74" s="1"/>
  <c r="H24" i="74"/>
  <c r="H25" i="74" s="1"/>
  <c r="H28" i="74"/>
  <c r="F9" i="74"/>
  <c r="F17" i="74" s="1"/>
  <c r="F22" i="74" s="1"/>
  <c r="E13" i="74"/>
  <c r="E26" i="74" s="1"/>
  <c r="E30" i="74" s="1"/>
  <c r="D13" i="74"/>
  <c r="D26" i="74" s="1"/>
  <c r="D30" i="74" s="1"/>
  <c r="C13" i="74"/>
  <c r="C26" i="74" s="1"/>
  <c r="C30" i="74" s="1"/>
  <c r="F8" i="74"/>
  <c r="E12" i="74"/>
  <c r="E25" i="74" s="1"/>
  <c r="E29" i="74" s="1"/>
  <c r="C12" i="74"/>
  <c r="C25" i="74" s="1"/>
  <c r="C29" i="74" s="1"/>
  <c r="F7" i="74"/>
  <c r="E11" i="74"/>
  <c r="E24" i="74" s="1"/>
  <c r="E28" i="74" s="1"/>
  <c r="C11" i="74"/>
  <c r="C24" i="74" s="1"/>
  <c r="C28" i="74" s="1"/>
  <c r="B27" i="74"/>
  <c r="B23" i="74"/>
  <c r="B19" i="74"/>
  <c r="D17" i="74"/>
  <c r="D22" i="74" s="1"/>
  <c r="B14" i="74"/>
  <c r="B10" i="74"/>
  <c r="B6" i="74"/>
  <c r="B5" i="74"/>
  <c r="B31" i="73"/>
  <c r="A31" i="73"/>
  <c r="G19" i="73"/>
  <c r="G20" i="73"/>
  <c r="G21" i="73"/>
  <c r="G23" i="73"/>
  <c r="G24" i="73"/>
  <c r="G25" i="73"/>
  <c r="G27" i="73"/>
  <c r="G28" i="73"/>
  <c r="G29" i="73"/>
  <c r="E6" i="73"/>
  <c r="F6" i="73" s="1"/>
  <c r="H6" i="73" s="1"/>
  <c r="E7" i="73"/>
  <c r="F7" i="73" s="1"/>
  <c r="E8" i="73"/>
  <c r="F8" i="73" s="1"/>
  <c r="H8" i="73" s="1"/>
  <c r="E9" i="73"/>
  <c r="F9" i="73" s="1"/>
  <c r="H9" i="73" s="1"/>
  <c r="E10" i="73"/>
  <c r="F10" i="73" s="1"/>
  <c r="H10" i="73" s="1"/>
  <c r="E11" i="73"/>
  <c r="F11" i="73" s="1"/>
  <c r="H11" i="73" s="1"/>
  <c r="E12" i="73"/>
  <c r="F12" i="73" s="1"/>
  <c r="H12" i="73" s="1"/>
  <c r="E13" i="73"/>
  <c r="F13" i="73" s="1"/>
  <c r="D19" i="73"/>
  <c r="D20" i="73"/>
  <c r="D21" i="73"/>
  <c r="D23" i="73"/>
  <c r="D24" i="73"/>
  <c r="D25" i="73"/>
  <c r="D27" i="73"/>
  <c r="D28" i="73"/>
  <c r="D29" i="73"/>
  <c r="B29" i="73"/>
  <c r="A29" i="73"/>
  <c r="B28" i="73"/>
  <c r="A28" i="73"/>
  <c r="B27" i="73"/>
  <c r="A27" i="73"/>
  <c r="B26" i="73"/>
  <c r="A26" i="73"/>
  <c r="B25" i="73"/>
  <c r="A25" i="73"/>
  <c r="B24" i="73"/>
  <c r="A24" i="73"/>
  <c r="B23" i="73"/>
  <c r="A23" i="73"/>
  <c r="B22" i="73"/>
  <c r="A22" i="73"/>
  <c r="B21" i="73"/>
  <c r="B20" i="73"/>
  <c r="B19" i="73"/>
  <c r="B18" i="73"/>
  <c r="A18" i="73"/>
  <c r="B17" i="73"/>
  <c r="A17" i="73"/>
  <c r="G13" i="73"/>
  <c r="K58" i="26"/>
  <c r="D56" i="26"/>
  <c r="G56" i="26"/>
  <c r="D55" i="26"/>
  <c r="I55" i="26" s="1"/>
  <c r="G55" i="26"/>
  <c r="D54" i="26"/>
  <c r="E54" i="26" s="1"/>
  <c r="G54" i="26"/>
  <c r="D52" i="26"/>
  <c r="G52" i="26"/>
  <c r="D51" i="26"/>
  <c r="I51" i="26" s="1"/>
  <c r="G51" i="26"/>
  <c r="D49" i="26"/>
  <c r="D47" i="26"/>
  <c r="I47" i="26" s="1"/>
  <c r="G47" i="26"/>
  <c r="D46" i="26"/>
  <c r="G46" i="26"/>
  <c r="K44" i="26"/>
  <c r="G43" i="26"/>
  <c r="G41" i="26"/>
  <c r="G40" i="26"/>
  <c r="D33" i="26"/>
  <c r="D32" i="26"/>
  <c r="D31" i="26"/>
  <c r="I31" i="26" s="1"/>
  <c r="D30" i="26"/>
  <c r="I30" i="26" s="1"/>
  <c r="D28" i="26"/>
  <c r="G28" i="26"/>
  <c r="D27" i="26"/>
  <c r="G27" i="26"/>
  <c r="D25" i="26"/>
  <c r="E25" i="26" s="1"/>
  <c r="G25" i="26"/>
  <c r="D24" i="26"/>
  <c r="E24" i="26" s="1"/>
  <c r="G24" i="26"/>
  <c r="D23" i="26"/>
  <c r="I23" i="26" s="1"/>
  <c r="G23" i="26"/>
  <c r="D22" i="26"/>
  <c r="E22" i="26" s="1"/>
  <c r="G22" i="26"/>
  <c r="D21" i="26"/>
  <c r="E21" i="26" s="1"/>
  <c r="G21" i="26"/>
  <c r="D20" i="26"/>
  <c r="I20" i="26" s="1"/>
  <c r="G20" i="26"/>
  <c r="D19" i="26"/>
  <c r="G19" i="26"/>
  <c r="D18" i="26"/>
  <c r="E18" i="26" s="1"/>
  <c r="G18" i="26"/>
  <c r="D17" i="26"/>
  <c r="I17" i="26" s="1"/>
  <c r="G17" i="26"/>
  <c r="G15" i="26"/>
  <c r="G14" i="26"/>
  <c r="G13" i="26"/>
  <c r="G12" i="26"/>
  <c r="D11" i="26"/>
  <c r="E11" i="26" s="1"/>
  <c r="G11" i="26"/>
  <c r="D10" i="26"/>
  <c r="E10" i="26" s="1"/>
  <c r="G10" i="26"/>
  <c r="D9" i="26"/>
  <c r="E9" i="26" s="1"/>
  <c r="G9" i="26"/>
  <c r="D8" i="26"/>
  <c r="E8" i="26" s="1"/>
  <c r="G8" i="26"/>
  <c r="J343" i="76"/>
  <c r="J342" i="76"/>
  <c r="T341" i="76"/>
  <c r="Y341" i="76"/>
  <c r="L341" i="76"/>
  <c r="T340" i="76"/>
  <c r="U340" i="76" s="1"/>
  <c r="V340" i="76" s="1"/>
  <c r="Y340" i="76"/>
  <c r="L340" i="76"/>
  <c r="T339" i="76"/>
  <c r="Y339" i="76"/>
  <c r="L339" i="76"/>
  <c r="Q338" i="76"/>
  <c r="BA338" i="76" s="1"/>
  <c r="T338" i="76"/>
  <c r="U338" i="76" s="1"/>
  <c r="AO338" i="76" s="1"/>
  <c r="Y338" i="76"/>
  <c r="L338" i="76"/>
  <c r="Y337" i="76"/>
  <c r="F337" i="76"/>
  <c r="T337" i="76" s="1"/>
  <c r="V337" i="76" s="1"/>
  <c r="K337" i="76"/>
  <c r="G337" i="76"/>
  <c r="E337" i="76"/>
  <c r="J336" i="76"/>
  <c r="J335" i="76"/>
  <c r="T334" i="76"/>
  <c r="U334" i="76" s="1"/>
  <c r="V334" i="76" s="1"/>
  <c r="Y334" i="76"/>
  <c r="T333" i="76"/>
  <c r="U333" i="76" s="1"/>
  <c r="Y333" i="76"/>
  <c r="T332" i="76"/>
  <c r="AN332" i="76" s="1"/>
  <c r="Y332" i="76"/>
  <c r="T331" i="76"/>
  <c r="U331" i="76" s="1"/>
  <c r="Y331" i="76"/>
  <c r="V330" i="76"/>
  <c r="X330" i="76" s="1"/>
  <c r="L330" i="76"/>
  <c r="K330" i="76"/>
  <c r="G330" i="76"/>
  <c r="F330" i="76"/>
  <c r="E330" i="76"/>
  <c r="V329" i="76"/>
  <c r="M329" i="76"/>
  <c r="N329" i="76" s="1"/>
  <c r="T328" i="76"/>
  <c r="U328" i="76" s="1"/>
  <c r="Y328" i="76"/>
  <c r="T327" i="76"/>
  <c r="U327" i="76" s="1"/>
  <c r="AO327" i="76" s="1"/>
  <c r="Y327" i="76"/>
  <c r="Q326" i="76"/>
  <c r="BA326" i="76" s="1"/>
  <c r="T326" i="76"/>
  <c r="Y326" i="76"/>
  <c r="Q325" i="76"/>
  <c r="AQ325" i="76" s="1"/>
  <c r="T325" i="76"/>
  <c r="Y325" i="76"/>
  <c r="Q324" i="76"/>
  <c r="BA324" i="76" s="1"/>
  <c r="T324" i="76"/>
  <c r="AN324" i="76" s="1"/>
  <c r="Y324" i="76"/>
  <c r="T323" i="76"/>
  <c r="Y323" i="76"/>
  <c r="Q322" i="76"/>
  <c r="BA322" i="76" s="1"/>
  <c r="T322" i="76"/>
  <c r="U322" i="76" s="1"/>
  <c r="AO322" i="76" s="1"/>
  <c r="Y322" i="76"/>
  <c r="T321" i="76"/>
  <c r="Y321" i="76"/>
  <c r="Q320" i="76"/>
  <c r="AQ320" i="76" s="1"/>
  <c r="T320" i="76"/>
  <c r="U320" i="76" s="1"/>
  <c r="P320" i="76" s="1"/>
  <c r="Y320" i="76"/>
  <c r="T319" i="76"/>
  <c r="AN319" i="76" s="1"/>
  <c r="Y319" i="76"/>
  <c r="Y318" i="76"/>
  <c r="F318" i="76"/>
  <c r="T318" i="76" s="1"/>
  <c r="J318" i="76"/>
  <c r="U318" i="76" s="1"/>
  <c r="G318" i="76"/>
  <c r="E318" i="76"/>
  <c r="L315" i="76"/>
  <c r="Q309" i="76"/>
  <c r="AQ309" i="76" s="1"/>
  <c r="J309" i="76"/>
  <c r="M309" i="76" s="1"/>
  <c r="S309" i="76"/>
  <c r="T309" i="76" s="1"/>
  <c r="L309" i="76"/>
  <c r="Y308" i="76"/>
  <c r="F308" i="76"/>
  <c r="T308" i="76" s="1"/>
  <c r="G308" i="76"/>
  <c r="E308" i="76"/>
  <c r="Q304" i="76"/>
  <c r="AQ304" i="76" s="1"/>
  <c r="T304" i="76"/>
  <c r="U304" i="76" s="1"/>
  <c r="Y304" i="76"/>
  <c r="L304" i="76"/>
  <c r="T303" i="76"/>
  <c r="U303" i="76" s="1"/>
  <c r="Y303" i="76"/>
  <c r="L303" i="76"/>
  <c r="Q302" i="76"/>
  <c r="AQ302" i="76" s="1"/>
  <c r="T302" i="76"/>
  <c r="AN302" i="76" s="1"/>
  <c r="Y302" i="76"/>
  <c r="L302" i="76"/>
  <c r="T301" i="76"/>
  <c r="Y301" i="76"/>
  <c r="L301" i="76"/>
  <c r="T300" i="76"/>
  <c r="AN300" i="76" s="1"/>
  <c r="Y300" i="76"/>
  <c r="L300" i="76"/>
  <c r="T299" i="76"/>
  <c r="U299" i="76" s="1"/>
  <c r="Y299" i="76"/>
  <c r="L299" i="76"/>
  <c r="Y298" i="76"/>
  <c r="F298" i="76"/>
  <c r="T298" i="76" s="1"/>
  <c r="J298" i="76"/>
  <c r="G298" i="76"/>
  <c r="E298" i="76"/>
  <c r="Y289" i="76"/>
  <c r="G289" i="76"/>
  <c r="T280" i="76"/>
  <c r="Y280" i="76"/>
  <c r="K280" i="76"/>
  <c r="T279" i="76"/>
  <c r="U279" i="76" s="1"/>
  <c r="Y279" i="76"/>
  <c r="K279" i="76"/>
  <c r="T278" i="76"/>
  <c r="AN278" i="76" s="1"/>
  <c r="Y278" i="76"/>
  <c r="K278" i="76"/>
  <c r="S277" i="76"/>
  <c r="L277" i="76"/>
  <c r="G277" i="76"/>
  <c r="F277" i="76"/>
  <c r="E277" i="76"/>
  <c r="Q270" i="76"/>
  <c r="M270" i="76"/>
  <c r="U270" i="76"/>
  <c r="Y270" i="76"/>
  <c r="M269" i="76"/>
  <c r="N269" i="76" s="1"/>
  <c r="U269" i="76"/>
  <c r="V269" i="76" s="1"/>
  <c r="Y269" i="76"/>
  <c r="Q268" i="76"/>
  <c r="AQ268" i="76" s="1"/>
  <c r="M268" i="76"/>
  <c r="U268" i="76"/>
  <c r="P268" i="76" s="1"/>
  <c r="Y268" i="76"/>
  <c r="Q267" i="76"/>
  <c r="M267" i="76"/>
  <c r="U267" i="76"/>
  <c r="Y267" i="76"/>
  <c r="Q266" i="76"/>
  <c r="AQ266" i="76" s="1"/>
  <c r="M266" i="76"/>
  <c r="U266" i="76"/>
  <c r="P266" i="76" s="1"/>
  <c r="Y266" i="76"/>
  <c r="Q265" i="76"/>
  <c r="AQ265" i="76" s="1"/>
  <c r="M265" i="76"/>
  <c r="U265" i="76"/>
  <c r="Y265" i="76"/>
  <c r="Q264" i="76"/>
  <c r="BA264" i="76" s="1"/>
  <c r="M264" i="76"/>
  <c r="U264" i="76"/>
  <c r="Y264" i="76"/>
  <c r="Q263" i="76"/>
  <c r="AQ263" i="76" s="1"/>
  <c r="M263" i="76"/>
  <c r="U263" i="76"/>
  <c r="V263" i="76" s="1"/>
  <c r="Y263" i="76"/>
  <c r="N262" i="76"/>
  <c r="Q262" i="76" s="1"/>
  <c r="BA262" i="76" s="1"/>
  <c r="M262" i="76"/>
  <c r="U262" i="76"/>
  <c r="Y262" i="76"/>
  <c r="T261" i="76"/>
  <c r="S261" i="76"/>
  <c r="O261" i="76"/>
  <c r="L261" i="76"/>
  <c r="K261" i="76"/>
  <c r="J261" i="76"/>
  <c r="G261" i="76"/>
  <c r="F261" i="76"/>
  <c r="E261" i="76"/>
  <c r="T259" i="76"/>
  <c r="Y259" i="76"/>
  <c r="T258" i="76"/>
  <c r="Y258" i="76"/>
  <c r="T257" i="76"/>
  <c r="U257" i="76" s="1"/>
  <c r="Y257" i="76"/>
  <c r="T256" i="76"/>
  <c r="U256" i="76" s="1"/>
  <c r="Y256" i="76"/>
  <c r="T255" i="76"/>
  <c r="U255" i="76" s="1"/>
  <c r="Y255" i="76"/>
  <c r="T254" i="76"/>
  <c r="Y254" i="76"/>
  <c r="T253" i="76"/>
  <c r="U253" i="76" s="1"/>
  <c r="Y253" i="76"/>
  <c r="T252" i="76"/>
  <c r="Y252" i="76"/>
  <c r="J251" i="76"/>
  <c r="S251" i="76"/>
  <c r="L251" i="76"/>
  <c r="K251" i="76"/>
  <c r="G251" i="76"/>
  <c r="F251" i="76"/>
  <c r="E251" i="76"/>
  <c r="H250" i="76"/>
  <c r="T247" i="76"/>
  <c r="Y247" i="76"/>
  <c r="L247" i="76"/>
  <c r="L243" i="76" s="1"/>
  <c r="T246" i="76"/>
  <c r="Y246" i="76"/>
  <c r="K246" i="76"/>
  <c r="T245" i="76"/>
  <c r="Y245" i="76"/>
  <c r="K245" i="76"/>
  <c r="T244" i="76"/>
  <c r="Y244" i="76"/>
  <c r="K244" i="76"/>
  <c r="S243" i="76"/>
  <c r="G243" i="76"/>
  <c r="F243" i="76"/>
  <c r="E243" i="76"/>
  <c r="L240" i="76"/>
  <c r="L238" i="76"/>
  <c r="L237" i="76"/>
  <c r="T236" i="76"/>
  <c r="Y236" i="76"/>
  <c r="T235" i="76"/>
  <c r="U235" i="76" s="1"/>
  <c r="Y235" i="76"/>
  <c r="S234" i="76"/>
  <c r="L234" i="76"/>
  <c r="K234" i="76"/>
  <c r="G234" i="76"/>
  <c r="F234" i="76"/>
  <c r="E234" i="76"/>
  <c r="Y233" i="76"/>
  <c r="X233" i="76"/>
  <c r="Y232" i="76"/>
  <c r="X232" i="76"/>
  <c r="S231" i="76"/>
  <c r="Y231" i="76" s="1"/>
  <c r="Q230" i="76"/>
  <c r="S230" i="76"/>
  <c r="T230" i="76" s="1"/>
  <c r="U230" i="76" s="1"/>
  <c r="V230" i="76" s="1"/>
  <c r="S229" i="76"/>
  <c r="AL229" i="76" s="1"/>
  <c r="S228" i="76"/>
  <c r="S227" i="76"/>
  <c r="Y227" i="76" s="1"/>
  <c r="Q226" i="76"/>
  <c r="BA226" i="76" s="1"/>
  <c r="S226" i="76"/>
  <c r="AK226" i="76" s="1"/>
  <c r="S225" i="76"/>
  <c r="L224" i="76"/>
  <c r="K224" i="76"/>
  <c r="J224" i="76"/>
  <c r="G224" i="76"/>
  <c r="F224" i="76"/>
  <c r="E224" i="76"/>
  <c r="T221" i="76"/>
  <c r="U221" i="76" s="1"/>
  <c r="Y221" i="76"/>
  <c r="L221" i="76"/>
  <c r="L214" i="76" s="1"/>
  <c r="Q220" i="76"/>
  <c r="AQ220" i="76" s="1"/>
  <c r="T220" i="76"/>
  <c r="Y220" i="76"/>
  <c r="Q219" i="76"/>
  <c r="AQ219" i="76" s="1"/>
  <c r="T219" i="76"/>
  <c r="Y219" i="76"/>
  <c r="T218" i="76"/>
  <c r="U218" i="76" s="1"/>
  <c r="AO218" i="76" s="1"/>
  <c r="Y218" i="76"/>
  <c r="T217" i="76"/>
  <c r="Y217" i="76"/>
  <c r="T216" i="76"/>
  <c r="U216" i="76" s="1"/>
  <c r="AO216" i="76" s="1"/>
  <c r="Y216" i="76"/>
  <c r="T215" i="76"/>
  <c r="U215" i="76" s="1"/>
  <c r="V215" i="76" s="1"/>
  <c r="Y215" i="76"/>
  <c r="S214" i="76"/>
  <c r="K214" i="76"/>
  <c r="J214" i="76"/>
  <c r="G214" i="76"/>
  <c r="F214" i="76"/>
  <c r="E214" i="76"/>
  <c r="T207" i="76"/>
  <c r="Y207" i="76"/>
  <c r="L207" i="76"/>
  <c r="T206" i="76"/>
  <c r="Y206" i="76"/>
  <c r="L206" i="76"/>
  <c r="S205" i="76"/>
  <c r="L205" i="76"/>
  <c r="S204" i="76"/>
  <c r="T204" i="76" s="1"/>
  <c r="U204" i="76" s="1"/>
  <c r="S203" i="76"/>
  <c r="AK203" i="76" s="1"/>
  <c r="Q202" i="76"/>
  <c r="AQ202" i="76" s="1"/>
  <c r="S202" i="76"/>
  <c r="S201" i="76"/>
  <c r="T200" i="76"/>
  <c r="Y200" i="76"/>
  <c r="K199" i="76"/>
  <c r="G199" i="76"/>
  <c r="F199" i="76"/>
  <c r="E199" i="76"/>
  <c r="T196" i="76"/>
  <c r="V196" i="76" s="1"/>
  <c r="Y196" i="76"/>
  <c r="L196" i="76"/>
  <c r="Q195" i="76"/>
  <c r="AQ195" i="76" s="1"/>
  <c r="T195" i="76"/>
  <c r="Y195" i="76"/>
  <c r="L195" i="76"/>
  <c r="T194" i="76"/>
  <c r="AN194" i="76" s="1"/>
  <c r="Y194" i="76"/>
  <c r="L194" i="76"/>
  <c r="L189" i="76" s="1"/>
  <c r="T193" i="76"/>
  <c r="U193" i="76" s="1"/>
  <c r="Y193" i="76"/>
  <c r="T192" i="76"/>
  <c r="Y192" i="76"/>
  <c r="T191" i="76"/>
  <c r="U191" i="76" s="1"/>
  <c r="V191" i="76" s="1"/>
  <c r="Y191" i="76"/>
  <c r="S190" i="76"/>
  <c r="Y190" i="76" s="1"/>
  <c r="K189" i="76"/>
  <c r="J189" i="76"/>
  <c r="G189" i="76"/>
  <c r="F189" i="76"/>
  <c r="E189" i="76"/>
  <c r="T185" i="76"/>
  <c r="Y185" i="76"/>
  <c r="L185" i="76"/>
  <c r="T184" i="76"/>
  <c r="Y184" i="76"/>
  <c r="L184" i="76"/>
  <c r="T183" i="76"/>
  <c r="Y183" i="76"/>
  <c r="T182" i="76"/>
  <c r="U182" i="76"/>
  <c r="Y182" i="76"/>
  <c r="Q181" i="76"/>
  <c r="T181" i="76"/>
  <c r="V181" i="76" s="1"/>
  <c r="Y181" i="76"/>
  <c r="T180" i="76"/>
  <c r="Y180" i="76"/>
  <c r="L180" i="76"/>
  <c r="T179" i="76"/>
  <c r="Y179" i="76"/>
  <c r="L179" i="76"/>
  <c r="S178" i="76"/>
  <c r="K178" i="76"/>
  <c r="J178" i="76"/>
  <c r="G178" i="76"/>
  <c r="F178" i="76"/>
  <c r="E178" i="76"/>
  <c r="T173" i="76"/>
  <c r="U173" i="76" s="1"/>
  <c r="Y173" i="76"/>
  <c r="L173" i="76"/>
  <c r="T172" i="76"/>
  <c r="Y172" i="76"/>
  <c r="T171" i="76"/>
  <c r="U171" i="76" s="1"/>
  <c r="Y171" i="76"/>
  <c r="L171" i="76"/>
  <c r="T170" i="76"/>
  <c r="U170" i="76" s="1"/>
  <c r="Y170" i="76"/>
  <c r="S169" i="76"/>
  <c r="K169" i="76"/>
  <c r="G169" i="76"/>
  <c r="F169" i="76"/>
  <c r="E169" i="76"/>
  <c r="J167" i="76"/>
  <c r="T167" i="76"/>
  <c r="P167" i="76" s="1"/>
  <c r="Y167" i="76"/>
  <c r="J166" i="76"/>
  <c r="AS166" i="76" s="1"/>
  <c r="T166" i="76"/>
  <c r="Y166" i="76"/>
  <c r="J165" i="76"/>
  <c r="T165" i="76"/>
  <c r="AN165" i="76" s="1"/>
  <c r="Y165" i="76"/>
  <c r="J164" i="76"/>
  <c r="M164" i="76" s="1"/>
  <c r="N164" i="76" s="1"/>
  <c r="Q164" i="76" s="1"/>
  <c r="BA164" i="76" s="1"/>
  <c r="T164" i="76"/>
  <c r="AN164" i="76" s="1"/>
  <c r="Y164" i="76"/>
  <c r="J163" i="76"/>
  <c r="M163" i="76" s="1"/>
  <c r="T163" i="76"/>
  <c r="Y163" i="76"/>
  <c r="J162" i="76"/>
  <c r="M162" i="76" s="1"/>
  <c r="AR162" i="76" s="1"/>
  <c r="T162" i="76"/>
  <c r="V162" i="76" s="1"/>
  <c r="Y162" i="76"/>
  <c r="J161" i="76"/>
  <c r="M161" i="76" s="1"/>
  <c r="AR161" i="76" s="1"/>
  <c r="T161" i="76"/>
  <c r="V161" i="76" s="1"/>
  <c r="Y161" i="76"/>
  <c r="J160" i="76"/>
  <c r="M160" i="76" s="1"/>
  <c r="N160" i="76" s="1"/>
  <c r="Q160" i="76" s="1"/>
  <c r="T160" i="76"/>
  <c r="AN160" i="76" s="1"/>
  <c r="Y160" i="76"/>
  <c r="J159" i="76"/>
  <c r="M159" i="76" s="1"/>
  <c r="T159" i="76"/>
  <c r="Y159" i="76"/>
  <c r="J158" i="76"/>
  <c r="M158" i="76" s="1"/>
  <c r="T158" i="76"/>
  <c r="P158" i="76" s="1"/>
  <c r="Y158" i="76"/>
  <c r="J157" i="76"/>
  <c r="M157" i="76" s="1"/>
  <c r="N157" i="76" s="1"/>
  <c r="Q157" i="76" s="1"/>
  <c r="T157" i="76"/>
  <c r="Y157" i="76"/>
  <c r="J156" i="76"/>
  <c r="M156" i="76" s="1"/>
  <c r="N156" i="76" s="1"/>
  <c r="Q156" i="76" s="1"/>
  <c r="T156" i="76"/>
  <c r="P156" i="76" s="1"/>
  <c r="Y156" i="76"/>
  <c r="W155" i="76"/>
  <c r="S155" i="76"/>
  <c r="O155" i="76"/>
  <c r="L155" i="76"/>
  <c r="K155" i="76"/>
  <c r="G155" i="76"/>
  <c r="F155" i="76"/>
  <c r="E155" i="76"/>
  <c r="X154" i="76"/>
  <c r="T153" i="76"/>
  <c r="U153" i="76" s="1"/>
  <c r="V153" i="76" s="1"/>
  <c r="Y153" i="76"/>
  <c r="S152" i="76"/>
  <c r="AL152" i="76" s="1"/>
  <c r="L152" i="76"/>
  <c r="T151" i="76"/>
  <c r="U151" i="76" s="1"/>
  <c r="Y151" i="76"/>
  <c r="T150" i="76"/>
  <c r="U150" i="76" s="1"/>
  <c r="V150" i="76" s="1"/>
  <c r="Y150" i="76"/>
  <c r="T149" i="76"/>
  <c r="U149" i="76" s="1"/>
  <c r="Y149" i="76"/>
  <c r="T148" i="76"/>
  <c r="U148" i="76" s="1"/>
  <c r="AO148" i="76" s="1"/>
  <c r="Y148" i="76"/>
  <c r="T147" i="76"/>
  <c r="U147" i="76" s="1"/>
  <c r="Y147" i="76"/>
  <c r="L147" i="76"/>
  <c r="T146" i="76"/>
  <c r="Y146" i="76"/>
  <c r="L146" i="76"/>
  <c r="T145" i="76"/>
  <c r="U145" i="76" s="1"/>
  <c r="V145" i="76" s="1"/>
  <c r="Y145" i="76"/>
  <c r="J144" i="76"/>
  <c r="T144" i="76"/>
  <c r="Y144" i="76"/>
  <c r="L144" i="76"/>
  <c r="M143" i="76"/>
  <c r="N143" i="76" s="1"/>
  <c r="Q143" i="76" s="1"/>
  <c r="T143" i="76"/>
  <c r="Y143" i="76"/>
  <c r="T142" i="76"/>
  <c r="Y142" i="76"/>
  <c r="L142" i="76"/>
  <c r="K141" i="76"/>
  <c r="G141" i="76"/>
  <c r="F141" i="76"/>
  <c r="E141" i="76"/>
  <c r="V140" i="76"/>
  <c r="P140" i="76"/>
  <c r="H140" i="76"/>
  <c r="J136" i="76"/>
  <c r="L135" i="76"/>
  <c r="J135" i="76"/>
  <c r="L134" i="76"/>
  <c r="J134" i="76"/>
  <c r="J133" i="76"/>
  <c r="M133" i="76" s="1"/>
  <c r="AR133" i="76" s="1"/>
  <c r="T133" i="76"/>
  <c r="X133" i="76"/>
  <c r="Y133" i="76"/>
  <c r="L133" i="76"/>
  <c r="T132" i="76"/>
  <c r="Y132" i="76"/>
  <c r="L132" i="76"/>
  <c r="T131" i="76"/>
  <c r="AN131" i="76" s="1"/>
  <c r="Y131" i="76"/>
  <c r="L131" i="76"/>
  <c r="T130" i="76"/>
  <c r="U130" i="76" s="1"/>
  <c r="V130" i="76" s="1"/>
  <c r="Y130" i="76"/>
  <c r="L130" i="76"/>
  <c r="J129" i="76"/>
  <c r="T129" i="76"/>
  <c r="X129" i="76"/>
  <c r="AP129" i="76" s="1"/>
  <c r="Y129" i="76"/>
  <c r="L129" i="76"/>
  <c r="S128" i="76"/>
  <c r="K128" i="76"/>
  <c r="G128" i="76"/>
  <c r="F128" i="76"/>
  <c r="E128" i="76"/>
  <c r="T126" i="76"/>
  <c r="U126" i="76" s="1"/>
  <c r="AO126" i="76" s="1"/>
  <c r="Y126" i="76"/>
  <c r="T125" i="76"/>
  <c r="Y125" i="76"/>
  <c r="T124" i="76"/>
  <c r="Y124" i="76"/>
  <c r="T123" i="76"/>
  <c r="Y123" i="76"/>
  <c r="T122" i="76"/>
  <c r="U122" i="76" s="1"/>
  <c r="AO122" i="76" s="1"/>
  <c r="Y122" i="76"/>
  <c r="Q121" i="76"/>
  <c r="T121" i="76"/>
  <c r="U121" i="76" s="1"/>
  <c r="AO121" i="76" s="1"/>
  <c r="Y121" i="76"/>
  <c r="Q120" i="76"/>
  <c r="T120" i="76"/>
  <c r="Y120" i="76"/>
  <c r="S119" i="76"/>
  <c r="L119" i="76"/>
  <c r="K119" i="76"/>
  <c r="J119" i="76"/>
  <c r="G119" i="76"/>
  <c r="F119" i="76"/>
  <c r="E119" i="76"/>
  <c r="A119" i="76"/>
  <c r="J117" i="76"/>
  <c r="S116" i="76"/>
  <c r="T116" i="76" s="1"/>
  <c r="S115" i="76"/>
  <c r="AK115" i="76" s="1"/>
  <c r="S114" i="76"/>
  <c r="Q113" i="76"/>
  <c r="S113" i="76"/>
  <c r="Q112" i="76"/>
  <c r="AQ112" i="76" s="1"/>
  <c r="S112" i="76"/>
  <c r="T112" i="76" s="1"/>
  <c r="S111" i="76"/>
  <c r="Y111" i="76" s="1"/>
  <c r="S110" i="76"/>
  <c r="S109" i="76"/>
  <c r="AK109" i="76" s="1"/>
  <c r="L108" i="76"/>
  <c r="K108" i="76"/>
  <c r="J108" i="76"/>
  <c r="G108" i="76"/>
  <c r="F108" i="76"/>
  <c r="E108" i="76"/>
  <c r="X107" i="76"/>
  <c r="L107" i="76"/>
  <c r="M106" i="76"/>
  <c r="N106" i="76" s="1"/>
  <c r="Q106" i="76" s="1"/>
  <c r="BA106" i="76" s="1"/>
  <c r="L106" i="76"/>
  <c r="L101" i="76" s="1"/>
  <c r="M105" i="76"/>
  <c r="M104" i="76"/>
  <c r="P104" i="76"/>
  <c r="M103" i="76"/>
  <c r="M102" i="76"/>
  <c r="N102" i="76" s="1"/>
  <c r="Q102" i="76" s="1"/>
  <c r="AQ102" i="76" s="1"/>
  <c r="Y101" i="76"/>
  <c r="T101" i="76"/>
  <c r="S101" i="76"/>
  <c r="O101" i="76"/>
  <c r="K101" i="76"/>
  <c r="J101" i="76"/>
  <c r="G101" i="76"/>
  <c r="F101" i="76"/>
  <c r="E101" i="76"/>
  <c r="T95" i="76"/>
  <c r="Y95" i="76"/>
  <c r="T94" i="76"/>
  <c r="U94" i="76" s="1"/>
  <c r="U92" i="76" s="1"/>
  <c r="Y94" i="76"/>
  <c r="T93" i="76"/>
  <c r="Y93" i="76"/>
  <c r="S92" i="76"/>
  <c r="L92" i="76"/>
  <c r="K92" i="76"/>
  <c r="J92" i="76"/>
  <c r="G92" i="76"/>
  <c r="F92" i="76"/>
  <c r="E92" i="76"/>
  <c r="Q87" i="76"/>
  <c r="BA87" i="76" s="1"/>
  <c r="T87" i="76"/>
  <c r="U87" i="76" s="1"/>
  <c r="AO87" i="76" s="1"/>
  <c r="Y87" i="76"/>
  <c r="T86" i="76"/>
  <c r="U86" i="76" s="1"/>
  <c r="Y86" i="76"/>
  <c r="T85" i="76"/>
  <c r="Y85" i="76"/>
  <c r="T84" i="76"/>
  <c r="U84" i="76" s="1"/>
  <c r="Y84" i="76"/>
  <c r="S83" i="76"/>
  <c r="L83" i="76"/>
  <c r="K83" i="76"/>
  <c r="J83" i="76"/>
  <c r="G83" i="76"/>
  <c r="E83" i="76"/>
  <c r="S78" i="76"/>
  <c r="AK78" i="76" s="1"/>
  <c r="L78" i="76"/>
  <c r="S77" i="76"/>
  <c r="L77" i="76"/>
  <c r="S76" i="76"/>
  <c r="L76" i="76"/>
  <c r="S75" i="76"/>
  <c r="L75" i="76"/>
  <c r="S74" i="76"/>
  <c r="L74" i="76"/>
  <c r="S73" i="76"/>
  <c r="L73" i="76"/>
  <c r="K72" i="76"/>
  <c r="G72" i="76"/>
  <c r="F72" i="76"/>
  <c r="E72" i="76"/>
  <c r="J71" i="76"/>
  <c r="T69" i="76"/>
  <c r="Y69" i="76"/>
  <c r="T68" i="76"/>
  <c r="U68" i="76" s="1"/>
  <c r="V68" i="76" s="1"/>
  <c r="Y68" i="76"/>
  <c r="T67" i="76"/>
  <c r="Y67" i="76"/>
  <c r="T66" i="76"/>
  <c r="Y66" i="76"/>
  <c r="Q65" i="76"/>
  <c r="AQ65" i="76" s="1"/>
  <c r="T65" i="76"/>
  <c r="Y65" i="76"/>
  <c r="T64" i="76"/>
  <c r="Y64" i="76"/>
  <c r="S63" i="76"/>
  <c r="L63" i="76"/>
  <c r="K63" i="76"/>
  <c r="G63" i="76"/>
  <c r="F63" i="76"/>
  <c r="E63" i="76"/>
  <c r="T59" i="76"/>
  <c r="U59" i="76" s="1"/>
  <c r="Y59" i="76"/>
  <c r="L59" i="76"/>
  <c r="T58" i="76"/>
  <c r="U58" i="76" s="1"/>
  <c r="Y58" i="76"/>
  <c r="L58" i="76"/>
  <c r="T57" i="76"/>
  <c r="U57" i="76" s="1"/>
  <c r="Y57" i="76"/>
  <c r="L57" i="76"/>
  <c r="T56" i="76"/>
  <c r="Y56" i="76"/>
  <c r="T55" i="76"/>
  <c r="U55" i="76" s="1"/>
  <c r="Y55" i="76"/>
  <c r="T54" i="76"/>
  <c r="Y54" i="76"/>
  <c r="S53" i="76"/>
  <c r="K53" i="76"/>
  <c r="J53" i="76"/>
  <c r="G53" i="76"/>
  <c r="F53" i="76"/>
  <c r="E53" i="76"/>
  <c r="T48" i="76"/>
  <c r="Y48" i="76"/>
  <c r="Y44" i="76"/>
  <c r="Y45" i="76"/>
  <c r="Y46" i="76"/>
  <c r="Y47" i="76"/>
  <c r="L48" i="76"/>
  <c r="T47" i="76"/>
  <c r="U47" i="76" s="1"/>
  <c r="L47" i="76"/>
  <c r="T46" i="76"/>
  <c r="U46" i="76" s="1"/>
  <c r="V46" i="76" s="1"/>
  <c r="T45" i="76"/>
  <c r="U45" i="76" s="1"/>
  <c r="L45" i="76"/>
  <c r="T44" i="76"/>
  <c r="AN44" i="76" s="1"/>
  <c r="S43" i="76"/>
  <c r="K43" i="76"/>
  <c r="J43" i="76"/>
  <c r="G43" i="76"/>
  <c r="F43" i="76"/>
  <c r="E43" i="76"/>
  <c r="T41" i="76"/>
  <c r="L40" i="76"/>
  <c r="T39" i="76"/>
  <c r="U39" i="76" s="1"/>
  <c r="Y39" i="76"/>
  <c r="T38" i="76"/>
  <c r="U38" i="76" s="1"/>
  <c r="AO38" i="76" s="1"/>
  <c r="Y38" i="76"/>
  <c r="T37" i="76"/>
  <c r="U37" i="76" s="1"/>
  <c r="Y37" i="76"/>
  <c r="T36" i="76"/>
  <c r="AN36" i="76" s="1"/>
  <c r="Y36" i="76"/>
  <c r="T35" i="76"/>
  <c r="U35" i="76" s="1"/>
  <c r="Y35" i="76"/>
  <c r="T34" i="76"/>
  <c r="Y34" i="76"/>
  <c r="S33" i="76"/>
  <c r="L33" i="76"/>
  <c r="K33" i="76"/>
  <c r="J33" i="76"/>
  <c r="G33" i="76"/>
  <c r="F33" i="76"/>
  <c r="E33" i="76"/>
  <c r="J31" i="76"/>
  <c r="T30" i="76"/>
  <c r="U30" i="76" s="1"/>
  <c r="AO30" i="76" s="1"/>
  <c r="Y30" i="76"/>
  <c r="T29" i="76"/>
  <c r="Y29" i="76"/>
  <c r="T28" i="76"/>
  <c r="U28" i="76" s="1"/>
  <c r="Y28" i="76"/>
  <c r="T27" i="76"/>
  <c r="U27" i="76" s="1"/>
  <c r="Y27" i="76"/>
  <c r="L27" i="76"/>
  <c r="K27" i="76"/>
  <c r="K26" i="76"/>
  <c r="T26" i="76"/>
  <c r="U26" i="76" s="1"/>
  <c r="AO26" i="76" s="1"/>
  <c r="Y26" i="76"/>
  <c r="L26" i="76"/>
  <c r="S25" i="76"/>
  <c r="G25" i="76"/>
  <c r="F25" i="76"/>
  <c r="F10" i="76"/>
  <c r="F19" i="76"/>
  <c r="E25" i="76"/>
  <c r="T23" i="76"/>
  <c r="U23" i="76" s="1"/>
  <c r="Y23" i="76"/>
  <c r="K23" i="76"/>
  <c r="T22" i="76"/>
  <c r="AN22" i="76" s="1"/>
  <c r="Y22" i="76"/>
  <c r="K22" i="76"/>
  <c r="T21" i="76"/>
  <c r="U21" i="76" s="1"/>
  <c r="Y21" i="76"/>
  <c r="K21" i="76"/>
  <c r="T20" i="76"/>
  <c r="V20" i="76" s="1"/>
  <c r="Y20" i="76"/>
  <c r="S19" i="76"/>
  <c r="L19" i="76"/>
  <c r="J19" i="76"/>
  <c r="G19" i="76"/>
  <c r="E19" i="76"/>
  <c r="M14" i="76"/>
  <c r="N14" i="76" s="1"/>
  <c r="Q14" i="76" s="1"/>
  <c r="AQ14" i="76" s="1"/>
  <c r="U14" i="76"/>
  <c r="P14" i="76" s="1"/>
  <c r="Y14" i="76"/>
  <c r="M13" i="76"/>
  <c r="U13" i="76"/>
  <c r="P13" i="76" s="1"/>
  <c r="Y13" i="76"/>
  <c r="M12" i="76"/>
  <c r="N12" i="76" s="1"/>
  <c r="U12" i="76"/>
  <c r="Y12" i="76"/>
  <c r="Y11" i="76"/>
  <c r="W10" i="76"/>
  <c r="T10" i="76"/>
  <c r="S10" i="76"/>
  <c r="O10" i="76"/>
  <c r="L10" i="76"/>
  <c r="K10" i="76"/>
  <c r="J10" i="76"/>
  <c r="G10" i="76"/>
  <c r="E10" i="76"/>
  <c r="H9" i="76"/>
  <c r="W8" i="76"/>
  <c r="T8" i="76"/>
  <c r="S8" i="76"/>
  <c r="O8" i="76"/>
  <c r="L8" i="76"/>
  <c r="K8" i="76"/>
  <c r="V95" i="76"/>
  <c r="U192" i="76"/>
  <c r="AO192" i="76" s="1"/>
  <c r="P263" i="76"/>
  <c r="X263" i="76" s="1"/>
  <c r="AP263" i="76" s="1"/>
  <c r="Y114" i="76"/>
  <c r="D40" i="26"/>
  <c r="F5" i="91"/>
  <c r="C3" i="69"/>
  <c r="G10" i="69" s="1"/>
  <c r="D14" i="79" s="1"/>
  <c r="C4" i="69"/>
  <c r="Y229" i="76"/>
  <c r="D10" i="68"/>
  <c r="G779" i="22"/>
  <c r="I779" i="22" s="1"/>
  <c r="G100" i="22"/>
  <c r="I100" i="22" s="1"/>
  <c r="G44" i="90"/>
  <c r="F11" i="91"/>
  <c r="G28" i="90"/>
  <c r="G15" i="90"/>
  <c r="G32" i="90"/>
  <c r="G24" i="90"/>
  <c r="F6" i="79"/>
  <c r="F6" i="91"/>
  <c r="G48" i="90"/>
  <c r="G27" i="90"/>
  <c r="G14" i="90"/>
  <c r="G61" i="90"/>
  <c r="G52" i="90"/>
  <c r="G40" i="90"/>
  <c r="G36" i="90"/>
  <c r="G23" i="90"/>
  <c r="G18" i="90"/>
  <c r="G56" i="90"/>
  <c r="G31" i="90"/>
  <c r="G6" i="90"/>
  <c r="G10" i="90"/>
  <c r="G56" i="85"/>
  <c r="G14" i="63"/>
  <c r="G58" i="90"/>
  <c r="G33" i="90"/>
  <c r="G25" i="90"/>
  <c r="G8" i="90"/>
  <c r="G12" i="90"/>
  <c r="G50" i="90"/>
  <c r="G29" i="90"/>
  <c r="G16" i="90"/>
  <c r="G63" i="90"/>
  <c r="G54" i="90"/>
  <c r="G45" i="90"/>
  <c r="G38" i="90"/>
  <c r="G20" i="90"/>
  <c r="G16" i="63"/>
  <c r="G60" i="85"/>
  <c r="V257" i="76"/>
  <c r="V255" i="76"/>
  <c r="U142" i="76"/>
  <c r="AO142" i="76" s="1"/>
  <c r="U236" i="76"/>
  <c r="V236" i="76" s="1"/>
  <c r="U245" i="76"/>
  <c r="V245" i="76" s="1"/>
  <c r="V86" i="76"/>
  <c r="V93" i="76"/>
  <c r="V47" i="76"/>
  <c r="V167" i="76"/>
  <c r="Y230" i="76"/>
  <c r="J308" i="76"/>
  <c r="U308" i="76" s="1"/>
  <c r="H704" i="22"/>
  <c r="Q12" i="76"/>
  <c r="AQ12" i="76" s="1"/>
  <c r="V37" i="76"/>
  <c r="V45" i="76"/>
  <c r="V87" i="76"/>
  <c r="V149" i="76"/>
  <c r="V171" i="76"/>
  <c r="V184" i="76"/>
  <c r="U195" i="76"/>
  <c r="P195" i="76" s="1"/>
  <c r="V221" i="76"/>
  <c r="U309" i="76"/>
  <c r="P309" i="76" s="1"/>
  <c r="O329" i="76"/>
  <c r="P329" i="76" s="1"/>
  <c r="X329" i="76" s="1"/>
  <c r="M129" i="76"/>
  <c r="M144" i="76"/>
  <c r="N144" i="76" s="1"/>
  <c r="J141" i="76"/>
  <c r="U178" i="76"/>
  <c r="U206" i="76"/>
  <c r="U207" i="76"/>
  <c r="U217" i="76"/>
  <c r="D13" i="26"/>
  <c r="T234" i="76"/>
  <c r="V299" i="76"/>
  <c r="V304" i="76"/>
  <c r="M308" i="76"/>
  <c r="Y309" i="76"/>
  <c r="D12" i="26"/>
  <c r="E12" i="26" s="1"/>
  <c r="F21" i="69"/>
  <c r="C15" i="68"/>
  <c r="D41" i="26"/>
  <c r="I41" i="26" s="1"/>
  <c r="H9" i="74"/>
  <c r="I9" i="74" s="1"/>
  <c r="K9" i="74" s="1"/>
  <c r="H855" i="22"/>
  <c r="I855" i="22" s="1"/>
  <c r="H676" i="22"/>
  <c r="G7" i="78"/>
  <c r="G50" i="26"/>
  <c r="F1522" i="45"/>
  <c r="G6" i="78"/>
  <c r="G19" i="78" s="1"/>
  <c r="G6" i="66"/>
  <c r="G12" i="66" s="1"/>
  <c r="G10" i="66"/>
  <c r="G16" i="66" s="1"/>
  <c r="G22" i="66" s="1"/>
  <c r="G8" i="78"/>
  <c r="D24" i="66"/>
  <c r="V193" i="76"/>
  <c r="D7" i="87"/>
  <c r="D8" i="87"/>
  <c r="J8" i="87" s="1"/>
  <c r="D43" i="26"/>
  <c r="I43" i="26" s="1"/>
  <c r="D15" i="26"/>
  <c r="I15" i="26" s="1"/>
  <c r="D14" i="26"/>
  <c r="I14" i="26" s="1"/>
  <c r="D6" i="87"/>
  <c r="I14" i="87"/>
  <c r="D9" i="87"/>
  <c r="J9" i="87" s="1"/>
  <c r="D13" i="87"/>
  <c r="D11" i="87"/>
  <c r="I6" i="87"/>
  <c r="D12" i="87"/>
  <c r="J12" i="87" s="1"/>
  <c r="K12" i="87" s="1"/>
  <c r="L12" i="87" s="1"/>
  <c r="D14" i="87"/>
  <c r="G8" i="87"/>
  <c r="G11" i="87"/>
  <c r="I7" i="87"/>
  <c r="H14" i="87"/>
  <c r="I9" i="87"/>
  <c r="H6" i="87"/>
  <c r="I8" i="87"/>
  <c r="H19" i="84"/>
  <c r="G9" i="87" s="1"/>
  <c r="I11" i="87"/>
  <c r="I13" i="87"/>
  <c r="H7" i="87"/>
  <c r="H8" i="87"/>
  <c r="I12" i="87"/>
  <c r="H9" i="87"/>
  <c r="AZ35" i="76"/>
  <c r="AF45" i="76"/>
  <c r="H12" i="87"/>
  <c r="H11" i="87"/>
  <c r="H13" i="87"/>
  <c r="AZ13" i="76"/>
  <c r="AZ22" i="76"/>
  <c r="AZ39" i="76"/>
  <c r="AZ47" i="76"/>
  <c r="AZ68" i="76"/>
  <c r="AZ75" i="76"/>
  <c r="AZ103" i="76"/>
  <c r="AZ109" i="76"/>
  <c r="AZ124" i="76"/>
  <c r="AZ130" i="76"/>
  <c r="AZ150" i="76"/>
  <c r="AZ156" i="76"/>
  <c r="AZ170" i="76"/>
  <c r="AZ179" i="76"/>
  <c r="AZ195" i="76"/>
  <c r="AZ202" i="76"/>
  <c r="AZ221" i="76"/>
  <c r="AZ228" i="76"/>
  <c r="AZ254" i="76"/>
  <c r="AZ258" i="76"/>
  <c r="AZ279" i="76"/>
  <c r="AZ301" i="76"/>
  <c r="AZ326" i="76"/>
  <c r="AZ332" i="76"/>
  <c r="AZ21" i="76"/>
  <c r="AZ27" i="76"/>
  <c r="AZ46" i="76"/>
  <c r="AZ55" i="76"/>
  <c r="AZ74" i="76"/>
  <c r="AZ78" i="76"/>
  <c r="AZ106" i="76"/>
  <c r="AZ112" i="76"/>
  <c r="AZ129" i="76"/>
  <c r="AZ145" i="76"/>
  <c r="AZ159" i="76"/>
  <c r="AZ163" i="76"/>
  <c r="AZ182" i="76"/>
  <c r="AZ190" i="76"/>
  <c r="AZ205" i="76"/>
  <c r="AZ216" i="76"/>
  <c r="AZ231" i="76"/>
  <c r="AZ245" i="76"/>
  <c r="AZ263" i="76"/>
  <c r="AZ267" i="76"/>
  <c r="AZ304" i="76"/>
  <c r="AZ321" i="76"/>
  <c r="AZ338" i="76"/>
  <c r="AZ11" i="76"/>
  <c r="AZ30" i="76"/>
  <c r="AZ37" i="76"/>
  <c r="AZ58" i="76"/>
  <c r="AZ66" i="76"/>
  <c r="AZ86" i="76"/>
  <c r="AZ95" i="76"/>
  <c r="AZ115" i="76"/>
  <c r="AZ122" i="76"/>
  <c r="AZ144" i="76"/>
  <c r="AZ148" i="76"/>
  <c r="AZ162" i="76"/>
  <c r="AZ166" i="76"/>
  <c r="AZ185" i="76"/>
  <c r="AZ193" i="76"/>
  <c r="AZ215" i="76"/>
  <c r="AZ219" i="76"/>
  <c r="AZ244" i="76"/>
  <c r="AZ252" i="76"/>
  <c r="AZ266" i="76"/>
  <c r="AZ270" i="76"/>
  <c r="AZ320" i="76"/>
  <c r="AZ324" i="76"/>
  <c r="AZ341" i="76"/>
  <c r="AZ14" i="76"/>
  <c r="AZ36" i="76"/>
  <c r="AZ44" i="76"/>
  <c r="AZ65" i="76"/>
  <c r="AZ69" i="76"/>
  <c r="AZ94" i="76"/>
  <c r="AZ104" i="76"/>
  <c r="AZ121" i="76"/>
  <c r="AZ125" i="76"/>
  <c r="AZ147" i="76"/>
  <c r="AZ151" i="76"/>
  <c r="AZ165" i="76"/>
  <c r="AZ171" i="76"/>
  <c r="AZ192" i="76"/>
  <c r="AZ196" i="76"/>
  <c r="AZ218" i="76"/>
  <c r="AZ225" i="76"/>
  <c r="AZ247" i="76"/>
  <c r="AZ255" i="76"/>
  <c r="AZ269" i="76"/>
  <c r="AZ280" i="76"/>
  <c r="AZ323" i="76"/>
  <c r="AZ327" i="76"/>
  <c r="F11" i="87"/>
  <c r="J11" i="87"/>
  <c r="K11" i="87" s="1"/>
  <c r="F8" i="87"/>
  <c r="AF104" i="76"/>
  <c r="AF103" i="76"/>
  <c r="AF202" i="76"/>
  <c r="AF338" i="76"/>
  <c r="AF106" i="76"/>
  <c r="AF327" i="76"/>
  <c r="AF266" i="76"/>
  <c r="AF112" i="76"/>
  <c r="AF193" i="76"/>
  <c r="AF221" i="76"/>
  <c r="AF332" i="76"/>
  <c r="AF196" i="76"/>
  <c r="AF267" i="76"/>
  <c r="AF58" i="76"/>
  <c r="AF300" i="76"/>
  <c r="AF324" i="76"/>
  <c r="AF165" i="76"/>
  <c r="AF257" i="76"/>
  <c r="AF74" i="76"/>
  <c r="AF195" i="76"/>
  <c r="AF325" i="76"/>
  <c r="AF194" i="76"/>
  <c r="AF102" i="76"/>
  <c r="AF322" i="76"/>
  <c r="AF191" i="76"/>
  <c r="AF93" i="76"/>
  <c r="AF319" i="76"/>
  <c r="AF184" i="76"/>
  <c r="AF85" i="76"/>
  <c r="AF303" i="76"/>
  <c r="AF166" i="76"/>
  <c r="AF201" i="76"/>
  <c r="AF56" i="76"/>
  <c r="AF147" i="76"/>
  <c r="AF244" i="76"/>
  <c r="AF30" i="76"/>
  <c r="AF163" i="76"/>
  <c r="AF309" i="76"/>
  <c r="AF253" i="76"/>
  <c r="AF149" i="76"/>
  <c r="AF38" i="76"/>
  <c r="AF246" i="76"/>
  <c r="AF146" i="76"/>
  <c r="AF35" i="76"/>
  <c r="AF236" i="76"/>
  <c r="AF143" i="76"/>
  <c r="AF29" i="76"/>
  <c r="AF230" i="76"/>
  <c r="AF66" i="76"/>
  <c r="AF279" i="76"/>
  <c r="AF247" i="76"/>
  <c r="AF36" i="76"/>
  <c r="AF144" i="76"/>
  <c r="AF339" i="76"/>
  <c r="AF142" i="76"/>
  <c r="AF263" i="76"/>
  <c r="AF159" i="76"/>
  <c r="AF55" i="76"/>
  <c r="AF258" i="76"/>
  <c r="AF156" i="76"/>
  <c r="AF47" i="76"/>
  <c r="AF255" i="76"/>
  <c r="AF151" i="76"/>
  <c r="AF44" i="76"/>
  <c r="AF252" i="76"/>
  <c r="AF95" i="76"/>
  <c r="AF34" i="76"/>
  <c r="AF269" i="76"/>
  <c r="AF65" i="76"/>
  <c r="AF162" i="76"/>
  <c r="AZ333" i="76"/>
  <c r="AZ302" i="76"/>
  <c r="AZ259" i="76"/>
  <c r="AZ229" i="76"/>
  <c r="AZ203" i="76"/>
  <c r="AZ180" i="76"/>
  <c r="AZ157" i="76"/>
  <c r="AZ131" i="76"/>
  <c r="AZ110" i="76"/>
  <c r="AZ76" i="76"/>
  <c r="AZ48" i="76"/>
  <c r="AZ23" i="76"/>
  <c r="AZ328" i="76"/>
  <c r="AZ299" i="76"/>
  <c r="AZ256" i="76"/>
  <c r="AZ226" i="76"/>
  <c r="AZ200" i="76"/>
  <c r="AZ172" i="76"/>
  <c r="AZ152" i="76"/>
  <c r="AZ126" i="76"/>
  <c r="AZ105" i="76"/>
  <c r="AZ73" i="76"/>
  <c r="AZ45" i="76"/>
  <c r="AZ20" i="76"/>
  <c r="AZ325" i="76"/>
  <c r="AZ278" i="76"/>
  <c r="AZ253" i="76"/>
  <c r="AZ220" i="76"/>
  <c r="AZ194" i="76"/>
  <c r="AZ167" i="76"/>
  <c r="AZ149" i="76"/>
  <c r="AZ116" i="76"/>
  <c r="AZ87" i="76"/>
  <c r="AZ59" i="76"/>
  <c r="AZ34" i="76"/>
  <c r="AZ339" i="76"/>
  <c r="AZ309" i="76"/>
  <c r="AZ264" i="76"/>
  <c r="AZ235" i="76"/>
  <c r="AZ206" i="76"/>
  <c r="AZ183" i="76"/>
  <c r="AZ160" i="76"/>
  <c r="AZ142" i="76"/>
  <c r="AZ113" i="76"/>
  <c r="AZ84" i="76"/>
  <c r="AZ56" i="76"/>
  <c r="AZ28" i="76"/>
  <c r="AF321" i="76"/>
  <c r="AF216" i="76"/>
  <c r="AF129" i="76"/>
  <c r="AF21" i="76"/>
  <c r="AF235" i="76"/>
  <c r="AF160" i="76"/>
  <c r="AF323" i="76"/>
  <c r="AF278" i="76"/>
  <c r="AF220" i="76"/>
  <c r="AF167" i="76"/>
  <c r="AF123" i="76"/>
  <c r="AF67" i="76"/>
  <c r="AF12" i="76"/>
  <c r="AF268" i="76"/>
  <c r="AF217" i="76"/>
  <c r="AF164" i="76"/>
  <c r="AF120" i="76"/>
  <c r="AF64" i="76"/>
  <c r="AF340" i="76"/>
  <c r="AF265" i="76"/>
  <c r="AF207" i="76"/>
  <c r="AF161" i="76"/>
  <c r="AF114" i="76"/>
  <c r="AF57" i="76"/>
  <c r="AF334" i="76"/>
  <c r="AF262" i="76"/>
  <c r="AF122" i="76"/>
  <c r="AF11" i="76"/>
  <c r="AF87" i="76"/>
  <c r="AF150" i="76"/>
  <c r="AF333" i="76"/>
  <c r="AF192" i="76"/>
  <c r="AF94" i="76"/>
  <c r="AF320" i="76"/>
  <c r="AF185" i="76"/>
  <c r="AF86" i="76"/>
  <c r="AZ340" i="76"/>
  <c r="AZ319" i="76"/>
  <c r="AZ265" i="76"/>
  <c r="AZ236" i="76"/>
  <c r="AZ207" i="76"/>
  <c r="AZ184" i="76"/>
  <c r="AZ161" i="76"/>
  <c r="AZ143" i="76"/>
  <c r="AZ114" i="76"/>
  <c r="AZ85" i="76"/>
  <c r="AZ57" i="76"/>
  <c r="AZ29" i="76"/>
  <c r="AZ334" i="76"/>
  <c r="AZ303" i="76"/>
  <c r="AZ262" i="76"/>
  <c r="AZ230" i="76"/>
  <c r="AZ204" i="76"/>
  <c r="AZ181" i="76"/>
  <c r="AZ158" i="76"/>
  <c r="AZ132" i="76"/>
  <c r="AZ111" i="76"/>
  <c r="AZ77" i="76"/>
  <c r="AZ54" i="76"/>
  <c r="AZ26" i="76"/>
  <c r="AZ331" i="76"/>
  <c r="AZ300" i="76"/>
  <c r="AZ257" i="76"/>
  <c r="AZ227" i="76"/>
  <c r="AZ201" i="76"/>
  <c r="AZ173" i="76"/>
  <c r="AZ153" i="76"/>
  <c r="AZ123" i="76"/>
  <c r="AZ102" i="76"/>
  <c r="AZ67" i="76"/>
  <c r="AZ38" i="76"/>
  <c r="AZ12" i="76"/>
  <c r="AZ322" i="76"/>
  <c r="AZ268" i="76"/>
  <c r="AZ246" i="76"/>
  <c r="AZ217" i="76"/>
  <c r="AZ191" i="76"/>
  <c r="AZ164" i="76"/>
  <c r="AZ146" i="76"/>
  <c r="AZ120" i="76"/>
  <c r="AZ93" i="76"/>
  <c r="AZ64" i="76"/>
  <c r="AF245" i="76"/>
  <c r="AF153" i="76"/>
  <c r="AF46" i="76"/>
  <c r="AF264" i="76"/>
  <c r="AF170" i="76"/>
  <c r="AF84" i="76"/>
  <c r="AF304" i="76"/>
  <c r="AF182" i="76"/>
  <c r="AF133" i="76"/>
  <c r="AF27" i="76"/>
  <c r="AF301" i="76"/>
  <c r="AF228" i="76"/>
  <c r="AF179" i="76"/>
  <c r="AF130" i="76"/>
  <c r="AF22" i="76"/>
  <c r="AF280" i="76"/>
  <c r="AF225" i="76"/>
  <c r="AF171" i="76"/>
  <c r="AF125" i="76"/>
  <c r="AF69" i="76"/>
  <c r="AF14" i="76"/>
  <c r="AF270" i="76"/>
  <c r="AF219" i="76"/>
  <c r="AF148" i="76"/>
  <c r="AF37" i="76"/>
  <c r="AF145" i="76"/>
  <c r="AF206" i="76"/>
  <c r="AF28" i="76"/>
  <c r="AF218" i="76"/>
  <c r="AF121" i="76"/>
  <c r="AF341" i="76"/>
  <c r="AF215" i="76"/>
  <c r="AF158" i="76"/>
  <c r="AF111" i="76"/>
  <c r="AF54" i="76"/>
  <c r="AF331" i="76"/>
  <c r="AF173" i="76"/>
  <c r="AF59" i="76"/>
  <c r="AF254" i="76"/>
  <c r="AF124" i="76"/>
  <c r="AF39" i="76"/>
  <c r="AF302" i="76"/>
  <c r="AF180" i="76"/>
  <c r="AF131" i="76"/>
  <c r="AF23" i="76"/>
  <c r="AF299" i="76"/>
  <c r="AF172" i="76"/>
  <c r="AF126" i="76"/>
  <c r="AF73" i="76"/>
  <c r="AF20" i="76"/>
  <c r="AF181" i="76"/>
  <c r="AF132" i="76"/>
  <c r="AF77" i="76"/>
  <c r="AF26" i="76"/>
  <c r="AF227" i="76"/>
  <c r="AF116" i="76"/>
  <c r="AF326" i="76"/>
  <c r="AF183" i="76"/>
  <c r="AF68" i="76"/>
  <c r="AF13" i="76"/>
  <c r="AF259" i="76"/>
  <c r="AF157" i="76"/>
  <c r="AF48" i="76"/>
  <c r="AF328" i="76"/>
  <c r="AF256" i="76"/>
  <c r="AF200" i="76"/>
  <c r="AF105" i="76"/>
  <c r="AG13" i="76"/>
  <c r="AK11" i="76"/>
  <c r="AK338" i="76"/>
  <c r="AK332" i="76"/>
  <c r="AK299" i="76"/>
  <c r="AK267" i="76"/>
  <c r="AK263" i="76"/>
  <c r="AK257" i="76"/>
  <c r="AK253" i="76"/>
  <c r="AK236" i="76"/>
  <c r="AK225" i="76"/>
  <c r="AK217" i="76"/>
  <c r="AK202" i="76"/>
  <c r="AK193" i="76"/>
  <c r="AK181" i="76"/>
  <c r="AK328" i="76"/>
  <c r="AK324" i="76"/>
  <c r="AK320" i="76"/>
  <c r="AK280" i="76"/>
  <c r="AK246" i="76"/>
  <c r="AK221" i="76"/>
  <c r="AK201" i="76"/>
  <c r="AK184" i="76"/>
  <c r="AK167" i="76"/>
  <c r="AK340" i="76"/>
  <c r="AK331" i="76"/>
  <c r="AK279" i="76"/>
  <c r="AK266" i="76"/>
  <c r="AK258" i="76"/>
  <c r="AK254" i="76"/>
  <c r="AK245" i="76"/>
  <c r="AK220" i="76"/>
  <c r="AK216" i="76"/>
  <c r="AK195" i="76"/>
  <c r="AK182" i="76"/>
  <c r="AK171" i="76"/>
  <c r="AK327" i="76"/>
  <c r="AK323" i="76"/>
  <c r="AK319" i="76"/>
  <c r="AK304" i="76"/>
  <c r="AK278" i="76"/>
  <c r="AK244" i="76"/>
  <c r="AK200" i="76"/>
  <c r="AK185" i="76"/>
  <c r="AK180" i="76"/>
  <c r="AK170" i="76"/>
  <c r="AK149" i="76"/>
  <c r="AK126" i="76"/>
  <c r="AK122" i="76"/>
  <c r="AK114" i="76"/>
  <c r="AK104" i="76"/>
  <c r="AK87" i="76"/>
  <c r="AK68" i="76"/>
  <c r="AK64" i="76"/>
  <c r="AK54" i="76"/>
  <c r="AK13" i="76"/>
  <c r="AK164" i="76"/>
  <c r="AK162" i="76"/>
  <c r="AK160" i="76"/>
  <c r="AK158" i="76"/>
  <c r="AK156" i="76"/>
  <c r="AK142" i="76"/>
  <c r="AK129" i="76"/>
  <c r="AK95" i="76"/>
  <c r="AK48" i="76"/>
  <c r="AK39" i="76"/>
  <c r="AK35" i="76"/>
  <c r="AK27" i="76"/>
  <c r="AK22" i="76"/>
  <c r="AK153" i="76"/>
  <c r="AK148" i="76"/>
  <c r="AK143" i="76"/>
  <c r="AK131" i="76"/>
  <c r="AK123" i="76"/>
  <c r="AK102" i="76"/>
  <c r="AK86" i="76"/>
  <c r="AK69" i="76"/>
  <c r="AK65" i="76"/>
  <c r="AK55" i="76"/>
  <c r="AK44" i="76"/>
  <c r="AK130" i="76"/>
  <c r="AK111" i="76"/>
  <c r="AK105" i="76"/>
  <c r="AK73" i="76"/>
  <c r="AK46" i="76"/>
  <c r="AK36" i="76"/>
  <c r="AK30" i="76"/>
  <c r="AK20" i="76"/>
  <c r="AK334" i="76"/>
  <c r="AK303" i="76"/>
  <c r="AK269" i="76"/>
  <c r="AK265" i="76"/>
  <c r="AK259" i="76"/>
  <c r="AK255" i="76"/>
  <c r="AK247" i="76"/>
  <c r="AK219" i="76"/>
  <c r="AK215" i="76"/>
  <c r="AK196" i="76"/>
  <c r="AK191" i="76"/>
  <c r="AK341" i="76"/>
  <c r="AK326" i="76"/>
  <c r="AK322" i="76"/>
  <c r="AK302" i="76"/>
  <c r="AK262" i="76"/>
  <c r="AK228" i="76"/>
  <c r="AK207" i="76"/>
  <c r="AK190" i="76"/>
  <c r="AK179" i="76"/>
  <c r="AK166" i="76"/>
  <c r="AK333" i="76"/>
  <c r="AK301" i="76"/>
  <c r="AK268" i="76"/>
  <c r="AK264" i="76"/>
  <c r="AK256" i="76"/>
  <c r="AK252" i="76"/>
  <c r="AK235" i="76"/>
  <c r="AK227" i="76"/>
  <c r="AK218" i="76"/>
  <c r="AK206" i="76"/>
  <c r="AK192" i="76"/>
  <c r="AK173" i="76"/>
  <c r="AK339" i="76"/>
  <c r="AK325" i="76"/>
  <c r="AK321" i="76"/>
  <c r="AK309" i="76"/>
  <c r="AK300" i="76"/>
  <c r="AK270" i="76"/>
  <c r="AK230" i="76"/>
  <c r="AK194" i="76"/>
  <c r="AK183" i="76"/>
  <c r="AK172" i="76"/>
  <c r="AK151" i="76"/>
  <c r="AK147" i="76"/>
  <c r="AK124" i="76"/>
  <c r="AK120" i="76"/>
  <c r="AK110" i="76"/>
  <c r="AK94" i="76"/>
  <c r="AK85" i="76"/>
  <c r="AK66" i="76"/>
  <c r="AK56" i="76"/>
  <c r="AK23" i="76"/>
  <c r="AK165" i="76"/>
  <c r="AK163" i="76"/>
  <c r="AK161" i="76"/>
  <c r="AK159" i="76"/>
  <c r="AK157" i="76"/>
  <c r="AK146" i="76"/>
  <c r="AK132" i="76"/>
  <c r="AK103" i="76"/>
  <c r="AK59" i="76"/>
  <c r="AK45" i="76"/>
  <c r="AK37" i="76"/>
  <c r="AK29" i="76"/>
  <c r="AK26" i="76"/>
  <c r="AK12" i="76"/>
  <c r="AK150" i="76"/>
  <c r="AK144" i="76"/>
  <c r="AK133" i="76"/>
  <c r="AK125" i="76"/>
  <c r="AK121" i="76"/>
  <c r="AK112" i="76"/>
  <c r="AK93" i="76"/>
  <c r="AK84" i="76"/>
  <c r="AK67" i="76"/>
  <c r="AK58" i="76"/>
  <c r="AK47" i="76"/>
  <c r="AK21" i="76"/>
  <c r="AK145" i="76"/>
  <c r="AK106" i="76"/>
  <c r="AK74" i="76"/>
  <c r="AK57" i="76"/>
  <c r="AK38" i="76"/>
  <c r="AK34" i="76"/>
  <c r="AK28" i="76"/>
  <c r="AK14" i="76"/>
  <c r="AM11" i="76"/>
  <c r="AM326" i="76"/>
  <c r="AM322" i="76"/>
  <c r="AM302" i="76"/>
  <c r="AM262" i="76"/>
  <c r="AM166" i="76"/>
  <c r="AM268" i="76"/>
  <c r="AM264" i="76"/>
  <c r="AM309" i="76"/>
  <c r="AM270" i="76"/>
  <c r="AM230" i="76"/>
  <c r="AM183" i="76"/>
  <c r="AM338" i="76"/>
  <c r="AM332" i="76"/>
  <c r="AM267" i="76"/>
  <c r="AM263" i="76"/>
  <c r="AM181" i="76"/>
  <c r="AM164" i="76"/>
  <c r="AM162" i="76"/>
  <c r="AM160" i="76"/>
  <c r="AM158" i="76"/>
  <c r="AM156" i="76"/>
  <c r="AM129" i="76"/>
  <c r="AM143" i="76"/>
  <c r="AM102" i="76"/>
  <c r="AM65" i="76"/>
  <c r="AM105" i="76"/>
  <c r="AM120" i="76"/>
  <c r="AM324" i="76"/>
  <c r="AM320" i="76"/>
  <c r="AM167" i="76"/>
  <c r="AM266" i="76"/>
  <c r="AM220" i="76"/>
  <c r="AM319" i="76"/>
  <c r="AM304" i="76"/>
  <c r="AM226" i="76"/>
  <c r="AM269" i="76"/>
  <c r="AM265" i="76"/>
  <c r="AM219" i="76"/>
  <c r="AM165" i="76"/>
  <c r="AM163" i="76"/>
  <c r="AM161" i="76"/>
  <c r="AM159" i="76"/>
  <c r="AM157" i="76"/>
  <c r="AM113" i="76"/>
  <c r="AM103" i="76"/>
  <c r="AM12" i="76"/>
  <c r="AM144" i="76"/>
  <c r="AM133" i="76"/>
  <c r="AM121" i="76"/>
  <c r="AM112" i="76"/>
  <c r="AM115" i="76"/>
  <c r="AM106" i="76"/>
  <c r="AM14" i="76"/>
  <c r="AM104" i="76"/>
  <c r="AM87" i="76"/>
  <c r="AM13" i="76"/>
  <c r="AG75" i="76"/>
  <c r="AG131" i="76"/>
  <c r="AG181" i="76"/>
  <c r="AN235" i="76"/>
  <c r="AR323" i="76"/>
  <c r="AO262" i="76"/>
  <c r="AR280" i="76"/>
  <c r="AN158" i="76"/>
  <c r="AN112" i="76"/>
  <c r="AO47" i="76"/>
  <c r="AN28" i="76"/>
  <c r="AR228" i="76"/>
  <c r="AN264" i="76"/>
  <c r="AR302" i="76"/>
  <c r="AN270" i="76"/>
  <c r="AN325" i="76"/>
  <c r="AR86" i="76"/>
  <c r="AO170" i="76"/>
  <c r="AR193" i="76"/>
  <c r="AN39" i="76"/>
  <c r="AR29" i="76"/>
  <c r="AQ332" i="76"/>
  <c r="AO158" i="76"/>
  <c r="AR181" i="76"/>
  <c r="AN196" i="76"/>
  <c r="AN35" i="76"/>
  <c r="AR55" i="76"/>
  <c r="AO143" i="76"/>
  <c r="AN149" i="76"/>
  <c r="AR227" i="76"/>
  <c r="AN267" i="76"/>
  <c r="AR219" i="76"/>
  <c r="AO331" i="76"/>
  <c r="AN11" i="76"/>
  <c r="AQ160" i="76"/>
  <c r="AR231" i="76"/>
  <c r="AQ270" i="76"/>
  <c r="AN191" i="76"/>
  <c r="AR334" i="76"/>
  <c r="AN321" i="76"/>
  <c r="AR102" i="76"/>
  <c r="AP133" i="76"/>
  <c r="AR109" i="76"/>
  <c r="AR23" i="76"/>
  <c r="AR114" i="76"/>
  <c r="AO68" i="76"/>
  <c r="AR121" i="76"/>
  <c r="AN153" i="76"/>
  <c r="AR149" i="76"/>
  <c r="AO95" i="76"/>
  <c r="AO35" i="76"/>
  <c r="AR130" i="76"/>
  <c r="AR252" i="76"/>
  <c r="AR246" i="76"/>
  <c r="AN268" i="76"/>
  <c r="AR327" i="76"/>
  <c r="AO162" i="76"/>
  <c r="AR38" i="76"/>
  <c r="AQ181" i="76"/>
  <c r="AR247" i="76"/>
  <c r="AR153" i="76"/>
  <c r="AO106" i="76"/>
  <c r="AR262" i="76"/>
  <c r="AO184" i="76"/>
  <c r="AO256" i="76"/>
  <c r="AR319" i="76"/>
  <c r="AN195" i="76"/>
  <c r="AN12" i="76"/>
  <c r="AR112" i="76"/>
  <c r="AR148" i="76"/>
  <c r="AO28" i="76"/>
  <c r="AR44" i="76"/>
  <c r="AN86" i="76"/>
  <c r="AR163" i="76"/>
  <c r="AR45" i="76"/>
  <c r="AN95" i="76"/>
  <c r="AR14" i="76"/>
  <c r="AR110" i="76"/>
  <c r="AR93" i="76"/>
  <c r="AN218" i="76"/>
  <c r="AR256" i="76"/>
  <c r="AN263" i="76"/>
  <c r="AR215" i="76"/>
  <c r="AN183" i="76"/>
  <c r="AN230" i="76"/>
  <c r="AR300" i="76"/>
  <c r="AR190" i="76"/>
  <c r="AN258" i="76"/>
  <c r="AN333" i="76"/>
  <c r="AO182" i="76"/>
  <c r="AN217" i="76"/>
  <c r="AR194" i="76"/>
  <c r="AR304" i="76"/>
  <c r="AO23" i="76"/>
  <c r="AN55" i="76"/>
  <c r="AR65" i="76"/>
  <c r="AQ113" i="76"/>
  <c r="AN125" i="76"/>
  <c r="AR156" i="76"/>
  <c r="AN29" i="76"/>
  <c r="AN45" i="76"/>
  <c r="AO57" i="76"/>
  <c r="AQ120" i="76"/>
  <c r="AN162" i="76"/>
  <c r="AO14" i="76"/>
  <c r="AN65" i="76"/>
  <c r="AN69" i="76"/>
  <c r="AN103" i="76"/>
  <c r="AO149" i="76"/>
  <c r="AO103" i="76"/>
  <c r="AO104" i="76"/>
  <c r="AO144" i="76"/>
  <c r="AN163" i="76"/>
  <c r="AR20" i="76"/>
  <c r="AR87" i="76"/>
  <c r="AR120" i="76"/>
  <c r="AR124" i="76"/>
  <c r="AO146" i="76"/>
  <c r="AR57" i="76"/>
  <c r="AR77" i="76"/>
  <c r="AN145" i="76"/>
  <c r="AR204" i="76"/>
  <c r="AO215" i="76"/>
  <c r="AO264" i="76"/>
  <c r="AO268" i="76"/>
  <c r="AR322" i="76"/>
  <c r="AR326" i="76"/>
  <c r="AN257" i="76"/>
  <c r="AN299" i="76"/>
  <c r="AR226" i="76"/>
  <c r="AO265" i="76"/>
  <c r="AO269" i="76"/>
  <c r="AO159" i="76"/>
  <c r="AO163" i="76"/>
  <c r="AN20" i="76"/>
  <c r="AR28" i="76"/>
  <c r="AR143" i="76"/>
  <c r="AN182" i="76"/>
  <c r="AN206" i="76"/>
  <c r="AO255" i="76"/>
  <c r="AO270" i="76"/>
  <c r="AN184" i="76"/>
  <c r="AN207" i="76"/>
  <c r="AR263" i="76"/>
  <c r="AR267" i="76"/>
  <c r="AN320" i="76"/>
  <c r="AO166" i="76"/>
  <c r="AR202" i="76"/>
  <c r="AO235" i="76"/>
  <c r="AR338" i="76"/>
  <c r="AN170" i="76"/>
  <c r="AR230" i="76"/>
  <c r="AR264" i="76"/>
  <c r="AR268" i="76"/>
  <c r="AN309" i="76"/>
  <c r="AN339" i="76"/>
  <c r="AS332" i="76"/>
  <c r="AR21" i="76"/>
  <c r="AN58" i="76"/>
  <c r="AR67" i="76"/>
  <c r="AO94" i="76"/>
  <c r="AN116" i="76"/>
  <c r="AN123" i="76"/>
  <c r="AR160" i="76"/>
  <c r="AN27" i="76"/>
  <c r="AO130" i="76"/>
  <c r="AN14" i="76"/>
  <c r="AR54" i="76"/>
  <c r="AO86" i="76"/>
  <c r="AR12" i="76"/>
  <c r="AN21" i="76"/>
  <c r="AR95" i="76"/>
  <c r="AO147" i="76"/>
  <c r="AR35" i="76"/>
  <c r="AR39" i="76"/>
  <c r="AO93" i="76"/>
  <c r="AN68" i="76"/>
  <c r="AN87" i="76"/>
  <c r="AN124" i="76"/>
  <c r="AR147" i="76"/>
  <c r="AN159" i="76"/>
  <c r="AN94" i="76"/>
  <c r="AR126" i="76"/>
  <c r="AQ143" i="76"/>
  <c r="AN34" i="76"/>
  <c r="AN38" i="76"/>
  <c r="AO59" i="76"/>
  <c r="AR75" i="76"/>
  <c r="AO105" i="76"/>
  <c r="AR152" i="76"/>
  <c r="AN171" i="76"/>
  <c r="AR182" i="76"/>
  <c r="AO217" i="76"/>
  <c r="AQ326" i="76"/>
  <c r="AN167" i="76"/>
  <c r="AR207" i="76"/>
  <c r="AO266" i="76"/>
  <c r="AR320" i="76"/>
  <c r="AR324" i="76"/>
  <c r="AN341" i="76"/>
  <c r="AN255" i="76"/>
  <c r="AR303" i="76"/>
  <c r="AO181" i="76"/>
  <c r="AR203" i="76"/>
  <c r="AO263" i="76"/>
  <c r="AO267" i="76"/>
  <c r="AN304" i="76"/>
  <c r="AO157" i="76"/>
  <c r="AO161" i="76"/>
  <c r="AO165" i="76"/>
  <c r="AR30" i="76"/>
  <c r="AO45" i="76"/>
  <c r="AN57" i="76"/>
  <c r="AN102" i="76"/>
  <c r="AR111" i="76"/>
  <c r="AQ121" i="76"/>
  <c r="AO193" i="76"/>
  <c r="AR216" i="76"/>
  <c r="AR220" i="76"/>
  <c r="AO253" i="76"/>
  <c r="AO257" i="76"/>
  <c r="AR221" i="76"/>
  <c r="AR265" i="76"/>
  <c r="AR269" i="76"/>
  <c r="AN322" i="76"/>
  <c r="AO190" i="76"/>
  <c r="AQ230" i="76"/>
  <c r="AN200" i="76"/>
  <c r="AR266" i="76"/>
  <c r="AR278" i="76"/>
  <c r="AO320" i="76"/>
  <c r="AO328" i="76"/>
  <c r="AR47" i="76"/>
  <c r="AR84" i="76"/>
  <c r="AN93" i="76"/>
  <c r="AP104" i="76"/>
  <c r="AR150" i="76"/>
  <c r="AN26" i="76"/>
  <c r="AO46" i="76"/>
  <c r="AN59" i="76"/>
  <c r="AO84" i="76"/>
  <c r="AN105" i="76"/>
  <c r="AO20" i="76"/>
  <c r="AN47" i="76"/>
  <c r="AN84" i="76"/>
  <c r="AR116" i="76"/>
  <c r="AR123" i="76"/>
  <c r="AN13" i="76"/>
  <c r="AQ87" i="76"/>
  <c r="AN104" i="76"/>
  <c r="AR113" i="76"/>
  <c r="AN129" i="76"/>
  <c r="AN66" i="76"/>
  <c r="AN106" i="76"/>
  <c r="AN122" i="76"/>
  <c r="AO55" i="76"/>
  <c r="AN147" i="76"/>
  <c r="AN151" i="76"/>
  <c r="AN30" i="76"/>
  <c r="AO37" i="76"/>
  <c r="AR46" i="76"/>
  <c r="AR74" i="76"/>
  <c r="AR78" i="76"/>
  <c r="AO180" i="76"/>
  <c r="AO185" i="76"/>
  <c r="AR205" i="76"/>
  <c r="AN245" i="76"/>
  <c r="AR254" i="76"/>
  <c r="AR258" i="76"/>
  <c r="AQ267" i="76"/>
  <c r="AO299" i="76"/>
  <c r="AN221" i="76"/>
  <c r="AO230" i="76"/>
  <c r="AN265" i="76"/>
  <c r="AN269" i="76"/>
  <c r="AO171" i="76"/>
  <c r="AR191" i="76"/>
  <c r="AR225" i="76"/>
  <c r="AR270" i="76"/>
  <c r="AO333" i="76"/>
  <c r="AN180" i="76"/>
  <c r="AO207" i="76"/>
  <c r="AN244" i="76"/>
  <c r="AN266" i="76"/>
  <c r="AR325" i="76"/>
  <c r="AO156" i="76"/>
  <c r="AO160" i="76"/>
  <c r="AO164" i="76"/>
  <c r="AR145" i="76"/>
  <c r="AQ156" i="76"/>
  <c r="AN173" i="76"/>
  <c r="AO183" i="76"/>
  <c r="AN192" i="76"/>
  <c r="AN252" i="76"/>
  <c r="AN256" i="76"/>
  <c r="AN262" i="76"/>
  <c r="AN279" i="76"/>
  <c r="AO303" i="76"/>
  <c r="AN331" i="76"/>
  <c r="AR201" i="76"/>
  <c r="AN246" i="76"/>
  <c r="AN280" i="76"/>
  <c r="AO304" i="76"/>
  <c r="AO167" i="76"/>
  <c r="AO179" i="76"/>
  <c r="AN193" i="76"/>
  <c r="AN215" i="76"/>
  <c r="AR229" i="76"/>
  <c r="AN236" i="76"/>
  <c r="AR253" i="76"/>
  <c r="AR309" i="76"/>
  <c r="AR332" i="76"/>
  <c r="AN172" i="76"/>
  <c r="AO196" i="76"/>
  <c r="AO221" i="76"/>
  <c r="AN323" i="76"/>
  <c r="AG230" i="76"/>
  <c r="AG302" i="76"/>
  <c r="AG76" i="76"/>
  <c r="AG22" i="76"/>
  <c r="AG130" i="76"/>
  <c r="AG180" i="76"/>
  <c r="AG303" i="76"/>
  <c r="AG229" i="76"/>
  <c r="AG23" i="76"/>
  <c r="AG262" i="76"/>
  <c r="AG270" i="76"/>
  <c r="AG219" i="76"/>
  <c r="AG166" i="76"/>
  <c r="AG269" i="76"/>
  <c r="AG218" i="76"/>
  <c r="AG165" i="76"/>
  <c r="AG121" i="76"/>
  <c r="AG65" i="76"/>
  <c r="AG11" i="76"/>
  <c r="AG120" i="76"/>
  <c r="AG64" i="76"/>
  <c r="AG324" i="76"/>
  <c r="AG252" i="76"/>
  <c r="AG193" i="76"/>
  <c r="AG323" i="76"/>
  <c r="AG247" i="76"/>
  <c r="AG192" i="76"/>
  <c r="AG147" i="76"/>
  <c r="AG94" i="76"/>
  <c r="AG36" i="76"/>
  <c r="AG146" i="76"/>
  <c r="AG93" i="76"/>
  <c r="AG35" i="76"/>
  <c r="AG334" i="76"/>
  <c r="AG204" i="76"/>
  <c r="AG333" i="76"/>
  <c r="AG259" i="76"/>
  <c r="AG203" i="76"/>
  <c r="AG157" i="76"/>
  <c r="AG110" i="76"/>
  <c r="AG48" i="76"/>
  <c r="AG156" i="76"/>
  <c r="AG109" i="76"/>
  <c r="AG47" i="76"/>
  <c r="AG326" i="76"/>
  <c r="AG332" i="76"/>
  <c r="AG322" i="76"/>
  <c r="AG301" i="76"/>
  <c r="AG268" i="76"/>
  <c r="AG258" i="76"/>
  <c r="AG246" i="76"/>
  <c r="AG228" i="76"/>
  <c r="AG217" i="76"/>
  <c r="AG202" i="76"/>
  <c r="AG191" i="76"/>
  <c r="AG179" i="76"/>
  <c r="AG164" i="76"/>
  <c r="AG331" i="76"/>
  <c r="AG321" i="76"/>
  <c r="AG300" i="76"/>
  <c r="AG267" i="76"/>
  <c r="AG257" i="76"/>
  <c r="AG245" i="76"/>
  <c r="AG227" i="76"/>
  <c r="AG216" i="76"/>
  <c r="AG201" i="76"/>
  <c r="AG190" i="76"/>
  <c r="AG173" i="76"/>
  <c r="AG163" i="76"/>
  <c r="AG153" i="76"/>
  <c r="AG145" i="76"/>
  <c r="AG129" i="76"/>
  <c r="AG116" i="76"/>
  <c r="AG106" i="76"/>
  <c r="AG87" i="76"/>
  <c r="AG74" i="76"/>
  <c r="AG59" i="76"/>
  <c r="AG46" i="76"/>
  <c r="AG34" i="76"/>
  <c r="AG21" i="76"/>
  <c r="AG162" i="76"/>
  <c r="AG152" i="76"/>
  <c r="AG144" i="76"/>
  <c r="AG126" i="76"/>
  <c r="AG115" i="76"/>
  <c r="AG105" i="76"/>
  <c r="AG86" i="76"/>
  <c r="AG73" i="76"/>
  <c r="AG58" i="76"/>
  <c r="AG45" i="76"/>
  <c r="AG30" i="76"/>
  <c r="AG20" i="76"/>
  <c r="AG339" i="76"/>
  <c r="AG309" i="76"/>
  <c r="AG279" i="76"/>
  <c r="AG264" i="76"/>
  <c r="AG254" i="76"/>
  <c r="AG235" i="76"/>
  <c r="AG221" i="76"/>
  <c r="AG206" i="76"/>
  <c r="AG195" i="76"/>
  <c r="AG183" i="76"/>
  <c r="AG170" i="76"/>
  <c r="AG338" i="76"/>
  <c r="AG325" i="76"/>
  <c r="AG304" i="76"/>
  <c r="AG278" i="76"/>
  <c r="AG263" i="76"/>
  <c r="AG253" i="76"/>
  <c r="AG231" i="76"/>
  <c r="AG220" i="76"/>
  <c r="AG205" i="76"/>
  <c r="AG194" i="76"/>
  <c r="AG182" i="76"/>
  <c r="AG167" i="76"/>
  <c r="AG159" i="76"/>
  <c r="AG149" i="76"/>
  <c r="AG133" i="76"/>
  <c r="AG123" i="76"/>
  <c r="AG112" i="76"/>
  <c r="AG102" i="76"/>
  <c r="AG78" i="76"/>
  <c r="AG67" i="76"/>
  <c r="AG55" i="76"/>
  <c r="AG38" i="76"/>
  <c r="AG27" i="76"/>
  <c r="AG12" i="76"/>
  <c r="AG158" i="76"/>
  <c r="AG148" i="76"/>
  <c r="AG132" i="76"/>
  <c r="AG122" i="76"/>
  <c r="AG111" i="76"/>
  <c r="AG95" i="76"/>
  <c r="AG77" i="76"/>
  <c r="AG66" i="76"/>
  <c r="AG54" i="76"/>
  <c r="AG37" i="76"/>
  <c r="AG26" i="76"/>
  <c r="AG341" i="76"/>
  <c r="AG328" i="76"/>
  <c r="AG320" i="76"/>
  <c r="AG299" i="76"/>
  <c r="AG266" i="76"/>
  <c r="AG256" i="76"/>
  <c r="AG244" i="76"/>
  <c r="AG226" i="76"/>
  <c r="AG215" i="76"/>
  <c r="AG200" i="76"/>
  <c r="AG185" i="76"/>
  <c r="AG172" i="76"/>
  <c r="AG340" i="76"/>
  <c r="AG327" i="76"/>
  <c r="AG319" i="76"/>
  <c r="AG280" i="76"/>
  <c r="AG265" i="76"/>
  <c r="AG255" i="76"/>
  <c r="AG236" i="76"/>
  <c r="AG225" i="76"/>
  <c r="AG207" i="76"/>
  <c r="AG196" i="76"/>
  <c r="AG184" i="76"/>
  <c r="AG171" i="76"/>
  <c r="AG161" i="76"/>
  <c r="AG151" i="76"/>
  <c r="AG143" i="76"/>
  <c r="AG125" i="76"/>
  <c r="AG114" i="76"/>
  <c r="AG104" i="76"/>
  <c r="AG85" i="76"/>
  <c r="AG69" i="76"/>
  <c r="AG57" i="76"/>
  <c r="AG44" i="76"/>
  <c r="AG29" i="76"/>
  <c r="AG14" i="76"/>
  <c r="AG160" i="76"/>
  <c r="AG150" i="76"/>
  <c r="AG142" i="76"/>
  <c r="AG124" i="76"/>
  <c r="AG113" i="76"/>
  <c r="AG103" i="76"/>
  <c r="AG84" i="76"/>
  <c r="AG68" i="76"/>
  <c r="AG56" i="76"/>
  <c r="AG39" i="76"/>
  <c r="AG28" i="76"/>
  <c r="AL150" i="76"/>
  <c r="AL145" i="76"/>
  <c r="AL193" i="76"/>
  <c r="AL29" i="76"/>
  <c r="AL247" i="76"/>
  <c r="AL190" i="76"/>
  <c r="AL191" i="76"/>
  <c r="AL269" i="76"/>
  <c r="AL219" i="76"/>
  <c r="AL11" i="76"/>
  <c r="AL22" i="76"/>
  <c r="AL339" i="76"/>
  <c r="AL121" i="76"/>
  <c r="AL324" i="76"/>
  <c r="AL95" i="76"/>
  <c r="AL34" i="76"/>
  <c r="AL84" i="76"/>
  <c r="AL194" i="76"/>
  <c r="AL157" i="76"/>
  <c r="AL165" i="76"/>
  <c r="AL122" i="76"/>
  <c r="AL59" i="76"/>
  <c r="AL268" i="76"/>
  <c r="AL245" i="76"/>
  <c r="AL228" i="76"/>
  <c r="AL56" i="76"/>
  <c r="AL323" i="76"/>
  <c r="AL192" i="76"/>
  <c r="AL252" i="76"/>
  <c r="AL148" i="76"/>
  <c r="AL37" i="76"/>
  <c r="AL87" i="76"/>
  <c r="AL257" i="76"/>
  <c r="AL146" i="76"/>
  <c r="AL65" i="76"/>
  <c r="AL300" i="76"/>
  <c r="AL279" i="76"/>
  <c r="AL36" i="76"/>
  <c r="AL218" i="76"/>
  <c r="AL270" i="76"/>
  <c r="AL166" i="76"/>
  <c r="AL66" i="76"/>
  <c r="AL116" i="76"/>
  <c r="AL202" i="76"/>
  <c r="AL114" i="76"/>
  <c r="AL321" i="76"/>
  <c r="AL253" i="76"/>
  <c r="AL201" i="76"/>
  <c r="AL163" i="76"/>
  <c r="AL301" i="76"/>
  <c r="AL246" i="76"/>
  <c r="AL195" i="76"/>
  <c r="AL160" i="76"/>
  <c r="AL113" i="76"/>
  <c r="AL64" i="76"/>
  <c r="AL13" i="76"/>
  <c r="AL131" i="76"/>
  <c r="AL76" i="76"/>
  <c r="AL327" i="76"/>
  <c r="AL280" i="76"/>
  <c r="AL255" i="76"/>
  <c r="AL225" i="76"/>
  <c r="AL196" i="76"/>
  <c r="AL171" i="76"/>
  <c r="AL328" i="76"/>
  <c r="AL299" i="76"/>
  <c r="AL256" i="76"/>
  <c r="AL200" i="76"/>
  <c r="AL172" i="76"/>
  <c r="AL126" i="76"/>
  <c r="AL105" i="76"/>
  <c r="AL73" i="76"/>
  <c r="AL45" i="76"/>
  <c r="AL20" i="76"/>
  <c r="AL149" i="76"/>
  <c r="AL123" i="76"/>
  <c r="AL102" i="76"/>
  <c r="AL67" i="76"/>
  <c r="AL38" i="76"/>
  <c r="AL12" i="76"/>
  <c r="AL278" i="76"/>
  <c r="AL205" i="76"/>
  <c r="AL309" i="76"/>
  <c r="AL221" i="76"/>
  <c r="AL156" i="76"/>
  <c r="AL103" i="76"/>
  <c r="AL35" i="76"/>
  <c r="AL125" i="76"/>
  <c r="AL69" i="76"/>
  <c r="AL44" i="76"/>
  <c r="AL331" i="76"/>
  <c r="AL263" i="76"/>
  <c r="AL216" i="76"/>
  <c r="AL173" i="76"/>
  <c r="AL322" i="76"/>
  <c r="AL254" i="76"/>
  <c r="AL206" i="76"/>
  <c r="AL164" i="76"/>
  <c r="AL124" i="76"/>
  <c r="AL75" i="76"/>
  <c r="AL28" i="76"/>
  <c r="AL143" i="76"/>
  <c r="AL94" i="76"/>
  <c r="AL333" i="76"/>
  <c r="AL302" i="76"/>
  <c r="AL259" i="76"/>
  <c r="AL203" i="76"/>
  <c r="AL180" i="76"/>
  <c r="AL334" i="76"/>
  <c r="AL303" i="76"/>
  <c r="AL262" i="76"/>
  <c r="AL230" i="76"/>
  <c r="AL181" i="76"/>
  <c r="AL158" i="76"/>
  <c r="AL132" i="76"/>
  <c r="AL111" i="76"/>
  <c r="AL77" i="76"/>
  <c r="AL54" i="76"/>
  <c r="AL26" i="76"/>
  <c r="AL153" i="76"/>
  <c r="AL129" i="76"/>
  <c r="AL106" i="76"/>
  <c r="AL74" i="76"/>
  <c r="AL46" i="76"/>
  <c r="AL21" i="76"/>
  <c r="AL304" i="76"/>
  <c r="AL220" i="76"/>
  <c r="AL332" i="76"/>
  <c r="AL235" i="76"/>
  <c r="AL170" i="76"/>
  <c r="AL120" i="76"/>
  <c r="AL47" i="76"/>
  <c r="AL147" i="76"/>
  <c r="AL85" i="76"/>
  <c r="AL48" i="76"/>
  <c r="AL14" i="76"/>
  <c r="AL338" i="76"/>
  <c r="AL267" i="76"/>
  <c r="AL227" i="76"/>
  <c r="AL182" i="76"/>
  <c r="AL326" i="76"/>
  <c r="AL264" i="76"/>
  <c r="AL217" i="76"/>
  <c r="AL179" i="76"/>
  <c r="AL142" i="76"/>
  <c r="AL93" i="76"/>
  <c r="AL39" i="76"/>
  <c r="AL151" i="76"/>
  <c r="AL110" i="76"/>
  <c r="AL340" i="76"/>
  <c r="AL319" i="76"/>
  <c r="AL265" i="76"/>
  <c r="AL236" i="76"/>
  <c r="AL207" i="76"/>
  <c r="AL184" i="76"/>
  <c r="AL341" i="76"/>
  <c r="AL320" i="76"/>
  <c r="AL266" i="76"/>
  <c r="AL244" i="76"/>
  <c r="AL215" i="76"/>
  <c r="AL185" i="76"/>
  <c r="AL162" i="76"/>
  <c r="AL144" i="76"/>
  <c r="AL86" i="76"/>
  <c r="AL58" i="76"/>
  <c r="AL30" i="76"/>
  <c r="AL159" i="76"/>
  <c r="AL133" i="76"/>
  <c r="AL112" i="76"/>
  <c r="AL78" i="76"/>
  <c r="AL55" i="76"/>
  <c r="AL27" i="76"/>
  <c r="AL325" i="76"/>
  <c r="AL167" i="76"/>
  <c r="AL258" i="76"/>
  <c r="AL183" i="76"/>
  <c r="AL130" i="76"/>
  <c r="AL68" i="76"/>
  <c r="AL161" i="76"/>
  <c r="AL104" i="76"/>
  <c r="AL57" i="76"/>
  <c r="AL23" i="76"/>
  <c r="J13" i="87"/>
  <c r="K13" i="87" s="1"/>
  <c r="L13" i="87" s="1"/>
  <c r="J7" i="87"/>
  <c r="K7" i="87" s="1"/>
  <c r="J14" i="87"/>
  <c r="K14" i="87" s="1"/>
  <c r="J6" i="87"/>
  <c r="K6" i="87" s="1"/>
  <c r="L6" i="87" s="1"/>
  <c r="AS215" i="76"/>
  <c r="AS219" i="76"/>
  <c r="AS121" i="76"/>
  <c r="AS319" i="76"/>
  <c r="AS300" i="76"/>
  <c r="AS150" i="76"/>
  <c r="AS125" i="76"/>
  <c r="AS323" i="76"/>
  <c r="AS12" i="76"/>
  <c r="AS193" i="76"/>
  <c r="AS146" i="76"/>
  <c r="AS196" i="76"/>
  <c r="AS14" i="76"/>
  <c r="AS279" i="76"/>
  <c r="AS78" i="76"/>
  <c r="AS23" i="76"/>
  <c r="AS331" i="76"/>
  <c r="AS105" i="76"/>
  <c r="AS56" i="76"/>
  <c r="AS185" i="76"/>
  <c r="AS157" i="76"/>
  <c r="AS165" i="76"/>
  <c r="AS253" i="76"/>
  <c r="AS131" i="76"/>
  <c r="AS278" i="76"/>
  <c r="AS217" i="76"/>
  <c r="AS148" i="76"/>
  <c r="AS304" i="76"/>
  <c r="AS225" i="76"/>
  <c r="AS153" i="76"/>
  <c r="AS321" i="76"/>
  <c r="AS206" i="76"/>
  <c r="AS268" i="76"/>
  <c r="AS164" i="76"/>
  <c r="AS20" i="76"/>
  <c r="AS256" i="76"/>
  <c r="AS75" i="76"/>
  <c r="AS54" i="76"/>
  <c r="AS262" i="76"/>
  <c r="AS77" i="76"/>
  <c r="AS64" i="76"/>
  <c r="AS301" i="76"/>
  <c r="AS93" i="76"/>
  <c r="AS39" i="76"/>
  <c r="AS111" i="76"/>
  <c r="AS202" i="76"/>
  <c r="AS258" i="76"/>
  <c r="AS203" i="76"/>
  <c r="AS48" i="76"/>
  <c r="AS86" i="76"/>
  <c r="AS34" i="76"/>
  <c r="AS326" i="76"/>
  <c r="AS218" i="76"/>
  <c r="AS200" i="76"/>
  <c r="AS45" i="76"/>
  <c r="AS84" i="76"/>
  <c r="AS30" i="76"/>
  <c r="AS172" i="76"/>
  <c r="AS231" i="76"/>
  <c r="AS230" i="76"/>
  <c r="AS103" i="76"/>
  <c r="AS102" i="76"/>
  <c r="AS38" i="76"/>
  <c r="AS341" i="76"/>
  <c r="AS227" i="76"/>
  <c r="AS226" i="76"/>
  <c r="AS59" i="76"/>
  <c r="AS95" i="76"/>
  <c r="AS36" i="76"/>
  <c r="AS183" i="76"/>
  <c r="AS264" i="76"/>
  <c r="AS113" i="76"/>
  <c r="AS116" i="76"/>
  <c r="AS57" i="76"/>
  <c r="AS180" i="76"/>
  <c r="AS235" i="76"/>
  <c r="AS244" i="76"/>
  <c r="AS109" i="76"/>
  <c r="AS112" i="76"/>
  <c r="AS46" i="76"/>
  <c r="AS324" i="76"/>
  <c r="AS69" i="76"/>
  <c r="AS142" i="76"/>
  <c r="AS252" i="76"/>
  <c r="AS246" i="76"/>
  <c r="AS229" i="76"/>
  <c r="AS299" i="76"/>
  <c r="AS303" i="76"/>
  <c r="AS267" i="76"/>
  <c r="AS190" i="76"/>
  <c r="AS87" i="76"/>
  <c r="AS159" i="76"/>
  <c r="AS129" i="76"/>
  <c r="AS247" i="76"/>
  <c r="AS181" i="76"/>
  <c r="AS339" i="76"/>
  <c r="AS85" i="76"/>
  <c r="AS158" i="76"/>
  <c r="AS115" i="76"/>
  <c r="AS257" i="76"/>
  <c r="AS207" i="76"/>
  <c r="AS167" i="76"/>
  <c r="AS104" i="76"/>
  <c r="AS143" i="76"/>
  <c r="AS255" i="76"/>
  <c r="AS201" i="76"/>
  <c r="AS94" i="76"/>
  <c r="AS160" i="76"/>
  <c r="AS130" i="76"/>
  <c r="AS270" i="76"/>
  <c r="AS228" i="76"/>
  <c r="AS173" i="76"/>
  <c r="AS114" i="76"/>
  <c r="AS163" i="76"/>
  <c r="AS145" i="76"/>
  <c r="AS259" i="76"/>
  <c r="AS221" i="76"/>
  <c r="AS171" i="76"/>
  <c r="AS110" i="76"/>
  <c r="AS162" i="76"/>
  <c r="AS144" i="76"/>
  <c r="AS194" i="76"/>
  <c r="AS322" i="76"/>
  <c r="AS67" i="76"/>
  <c r="AS254" i="76"/>
  <c r="AS74" i="76"/>
  <c r="AS68" i="76"/>
  <c r="AS106" i="76"/>
  <c r="AS122" i="76"/>
  <c r="AS152" i="76"/>
  <c r="AS327" i="76"/>
  <c r="AS156" i="76"/>
  <c r="AS182" i="76"/>
  <c r="AS179" i="76"/>
  <c r="AS328" i="76"/>
  <c r="AS220" i="76"/>
  <c r="AS126" i="76"/>
  <c r="AS22" i="76"/>
  <c r="AS44" i="76"/>
  <c r="AS309" i="76"/>
  <c r="AS265" i="76"/>
  <c r="AS184" i="76"/>
  <c r="AS124" i="76"/>
  <c r="AS13" i="76"/>
  <c r="AS21" i="76"/>
  <c r="AS338" i="76"/>
  <c r="AS280" i="76"/>
  <c r="AS195" i="76"/>
  <c r="AS147" i="76"/>
  <c r="AS27" i="76"/>
  <c r="AS55" i="76"/>
  <c r="AS334" i="76"/>
  <c r="AS269" i="76"/>
  <c r="AS192" i="76"/>
  <c r="AS26" i="76"/>
  <c r="AS47" i="76"/>
  <c r="AS11" i="76"/>
  <c r="AS320" i="76"/>
  <c r="AS205" i="76"/>
  <c r="AS151" i="76"/>
  <c r="AS35" i="76"/>
  <c r="AS65" i="76"/>
  <c r="AS302" i="76"/>
  <c r="AS204" i="76"/>
  <c r="AS149" i="76"/>
  <c r="AS29" i="76"/>
  <c r="AS58" i="76"/>
  <c r="AS216" i="76"/>
  <c r="AS28" i="76"/>
  <c r="AS37" i="76"/>
  <c r="AS191" i="76"/>
  <c r="AS123" i="76"/>
  <c r="AS266" i="76"/>
  <c r="AS66" i="76"/>
  <c r="AS263" i="76"/>
  <c r="AS120" i="76"/>
  <c r="AS236" i="76"/>
  <c r="AS325" i="76"/>
  <c r="BA320" i="76"/>
  <c r="BA121" i="76"/>
  <c r="BA263" i="76"/>
  <c r="BA12" i="76"/>
  <c r="BA266" i="76"/>
  <c r="BA181" i="76"/>
  <c r="BA265" i="76"/>
  <c r="BA120" i="76"/>
  <c r="BA102" i="76"/>
  <c r="BA11" i="76"/>
  <c r="BA143" i="76"/>
  <c r="BA14" i="76"/>
  <c r="BA113" i="76"/>
  <c r="BA268" i="76"/>
  <c r="BA230" i="76"/>
  <c r="BA156" i="76"/>
  <c r="BA267" i="76"/>
  <c r="BA270" i="76"/>
  <c r="BA160" i="76"/>
  <c r="AC20" i="76"/>
  <c r="AC11" i="76"/>
  <c r="AC66" i="76"/>
  <c r="AC122" i="76"/>
  <c r="AC166" i="76"/>
  <c r="AC219" i="76"/>
  <c r="AC270" i="76"/>
  <c r="AC12" i="76"/>
  <c r="AC67" i="76"/>
  <c r="AC123" i="76"/>
  <c r="AC167" i="76"/>
  <c r="AC220" i="76"/>
  <c r="AC278" i="76"/>
  <c r="AC13" i="76"/>
  <c r="AC68" i="76"/>
  <c r="AC124" i="76"/>
  <c r="AC170" i="76"/>
  <c r="AC221" i="76"/>
  <c r="AC279" i="76"/>
  <c r="AC23" i="76"/>
  <c r="AC76" i="76"/>
  <c r="AC131" i="76"/>
  <c r="AC180" i="76"/>
  <c r="AC229" i="76"/>
  <c r="AC302" i="76"/>
  <c r="AC320" i="76"/>
  <c r="AC246" i="76"/>
  <c r="AC73" i="76"/>
  <c r="AC172" i="76"/>
  <c r="AC299" i="76"/>
  <c r="AC74" i="76"/>
  <c r="AC173" i="76"/>
  <c r="AC300" i="76"/>
  <c r="AC75" i="76"/>
  <c r="AC179" i="76"/>
  <c r="AC301" i="76"/>
  <c r="AC85" i="76"/>
  <c r="AC184" i="76"/>
  <c r="AC319" i="76"/>
  <c r="AC162" i="76"/>
  <c r="AC266" i="76"/>
  <c r="AC87" i="76"/>
  <c r="AC216" i="76"/>
  <c r="AC35" i="76"/>
  <c r="AC164" i="76"/>
  <c r="AC322" i="76"/>
  <c r="AC125" i="76"/>
  <c r="AC280" i="76"/>
  <c r="AC58" i="76"/>
  <c r="AC54" i="76"/>
  <c r="AC111" i="76"/>
  <c r="AC158" i="76"/>
  <c r="AC204" i="76"/>
  <c r="AC262" i="76"/>
  <c r="AC334" i="76"/>
  <c r="AC55" i="76"/>
  <c r="AC112" i="76"/>
  <c r="AC159" i="76"/>
  <c r="AC205" i="76"/>
  <c r="AC263" i="76"/>
  <c r="AC338" i="76"/>
  <c r="AC56" i="76"/>
  <c r="AC113" i="76"/>
  <c r="AC160" i="76"/>
  <c r="AC206" i="76"/>
  <c r="AC264" i="76"/>
  <c r="AC339" i="76"/>
  <c r="AC65" i="76"/>
  <c r="AC121" i="76"/>
  <c r="AC165" i="76"/>
  <c r="AC218" i="76"/>
  <c r="AC269" i="76"/>
  <c r="AC115" i="76"/>
  <c r="AC146" i="76"/>
  <c r="AC255" i="76"/>
  <c r="AC152" i="76"/>
  <c r="AC256" i="76"/>
  <c r="AC46" i="76"/>
  <c r="AC153" i="76"/>
  <c r="AC257" i="76"/>
  <c r="AC47" i="76"/>
  <c r="AC156" i="76"/>
  <c r="AC258" i="76"/>
  <c r="AC57" i="76"/>
  <c r="AC161" i="76"/>
  <c r="AC265" i="76"/>
  <c r="AC144" i="76"/>
  <c r="AC244" i="76"/>
  <c r="AC59" i="76"/>
  <c r="AC190" i="76"/>
  <c r="AC321" i="76"/>
  <c r="AC120" i="76"/>
  <c r="AC268" i="76"/>
  <c r="AC104" i="76"/>
  <c r="AC225" i="76"/>
  <c r="AC45" i="76"/>
  <c r="AC37" i="76"/>
  <c r="AC95" i="76"/>
  <c r="AC148" i="76"/>
  <c r="AC193" i="76"/>
  <c r="AC252" i="76"/>
  <c r="AC324" i="76"/>
  <c r="AC38" i="76"/>
  <c r="AC102" i="76"/>
  <c r="AC149" i="76"/>
  <c r="AC194" i="76"/>
  <c r="AC253" i="76"/>
  <c r="AC325" i="76"/>
  <c r="AC39" i="76"/>
  <c r="AC103" i="76"/>
  <c r="AC150" i="76"/>
  <c r="AC195" i="76"/>
  <c r="AC254" i="76"/>
  <c r="AC326" i="76"/>
  <c r="AC48" i="76"/>
  <c r="AC110" i="76"/>
  <c r="AC157" i="76"/>
  <c r="AC203" i="76"/>
  <c r="AC259" i="76"/>
  <c r="AC333" i="76"/>
  <c r="AC151" i="76"/>
  <c r="AC126" i="76"/>
  <c r="AC226" i="76"/>
  <c r="AC21" i="76"/>
  <c r="AC129" i="76"/>
  <c r="AC227" i="76"/>
  <c r="AC22" i="76"/>
  <c r="AC130" i="76"/>
  <c r="AC228" i="76"/>
  <c r="AC29" i="76"/>
  <c r="AC143" i="76"/>
  <c r="AC236" i="76"/>
  <c r="AC86" i="76"/>
  <c r="AC215" i="76"/>
  <c r="AC34" i="76"/>
  <c r="AC145" i="76"/>
  <c r="AC267" i="76"/>
  <c r="AC93" i="76"/>
  <c r="AC217" i="76"/>
  <c r="AC69" i="76"/>
  <c r="AC196" i="76"/>
  <c r="AC30" i="76"/>
  <c r="AC26" i="76"/>
  <c r="AC77" i="76"/>
  <c r="AC132" i="76"/>
  <c r="AC181" i="76"/>
  <c r="AC230" i="76"/>
  <c r="AC303" i="76"/>
  <c r="AC27" i="76"/>
  <c r="AC78" i="76"/>
  <c r="AC133" i="76"/>
  <c r="AC182" i="76"/>
  <c r="AC231" i="76"/>
  <c r="AC304" i="76"/>
  <c r="AC28" i="76"/>
  <c r="AC84" i="76"/>
  <c r="AC142" i="76"/>
  <c r="AC183" i="76"/>
  <c r="AC235" i="76"/>
  <c r="AC309" i="76"/>
  <c r="AC36" i="76"/>
  <c r="AC94" i="76"/>
  <c r="AC147" i="76"/>
  <c r="AC192" i="76"/>
  <c r="AC247" i="76"/>
  <c r="AC323" i="76"/>
  <c r="AC163" i="76"/>
  <c r="AC44" i="76"/>
  <c r="AC105" i="76"/>
  <c r="AC200" i="76"/>
  <c r="AC328" i="76"/>
  <c r="AC106" i="76"/>
  <c r="AC201" i="76"/>
  <c r="AC331" i="76"/>
  <c r="AC109" i="76"/>
  <c r="AC202" i="76"/>
  <c r="AC332" i="76"/>
  <c r="AC114" i="76"/>
  <c r="AC207" i="76"/>
  <c r="AC340" i="76"/>
  <c r="AC185" i="76"/>
  <c r="AC341" i="76"/>
  <c r="AC116" i="76"/>
  <c r="AC245" i="76"/>
  <c r="AC64" i="76"/>
  <c r="AC191" i="76"/>
  <c r="AC14" i="76"/>
  <c r="AC171" i="76"/>
  <c r="AC327" i="76"/>
  <c r="AH11" i="76"/>
  <c r="AH340" i="76"/>
  <c r="AH331" i="76"/>
  <c r="AH301" i="76"/>
  <c r="AH279" i="76"/>
  <c r="AH268" i="76"/>
  <c r="AH266" i="76"/>
  <c r="AH264" i="76"/>
  <c r="AH258" i="76"/>
  <c r="AH256" i="76"/>
  <c r="AH254" i="76"/>
  <c r="AH252" i="76"/>
  <c r="AH245" i="76"/>
  <c r="AH231" i="76"/>
  <c r="AH227" i="76"/>
  <c r="AH220" i="76"/>
  <c r="AH218" i="76"/>
  <c r="AH216" i="76"/>
  <c r="AH206" i="76"/>
  <c r="AH205" i="76"/>
  <c r="AH204" i="76"/>
  <c r="AH195" i="76"/>
  <c r="AH192" i="76"/>
  <c r="AH182" i="76"/>
  <c r="AH173" i="76"/>
  <c r="AH171" i="76"/>
  <c r="AH339" i="76"/>
  <c r="AH327" i="76"/>
  <c r="AH325" i="76"/>
  <c r="AH323" i="76"/>
  <c r="AH321" i="76"/>
  <c r="AH319" i="76"/>
  <c r="AH309" i="76"/>
  <c r="AH304" i="76"/>
  <c r="AH300" i="76"/>
  <c r="AH278" i="76"/>
  <c r="AH270" i="76"/>
  <c r="AH244" i="76"/>
  <c r="AH230" i="76"/>
  <c r="AH226" i="76"/>
  <c r="AH203" i="76"/>
  <c r="AH200" i="76"/>
  <c r="AH194" i="76"/>
  <c r="AH185" i="76"/>
  <c r="AH183" i="76"/>
  <c r="AH180" i="76"/>
  <c r="AH172" i="76"/>
  <c r="AH170" i="76"/>
  <c r="AH338" i="76"/>
  <c r="AH334" i="76"/>
  <c r="AH332" i="76"/>
  <c r="AH303" i="76"/>
  <c r="AH299" i="76"/>
  <c r="AH269" i="76"/>
  <c r="AH267" i="76"/>
  <c r="AH265" i="76"/>
  <c r="AH263" i="76"/>
  <c r="AH259" i="76"/>
  <c r="AH257" i="76"/>
  <c r="AH255" i="76"/>
  <c r="AH253" i="76"/>
  <c r="AH247" i="76"/>
  <c r="AH236" i="76"/>
  <c r="AH229" i="76"/>
  <c r="AH225" i="76"/>
  <c r="AH219" i="76"/>
  <c r="AH217" i="76"/>
  <c r="AH215" i="76"/>
  <c r="AH202" i="76"/>
  <c r="AH196" i="76"/>
  <c r="AH193" i="76"/>
  <c r="AH191" i="76"/>
  <c r="AH181" i="76"/>
  <c r="AH341" i="76"/>
  <c r="AH328" i="76"/>
  <c r="AH326" i="76"/>
  <c r="AH324" i="76"/>
  <c r="AH322" i="76"/>
  <c r="AH320" i="76"/>
  <c r="AH302" i="76"/>
  <c r="AH280" i="76"/>
  <c r="AH262" i="76"/>
  <c r="AH246" i="76"/>
  <c r="AH228" i="76"/>
  <c r="AH221" i="76"/>
  <c r="AH207" i="76"/>
  <c r="AH201" i="76"/>
  <c r="AH190" i="76"/>
  <c r="AH184" i="76"/>
  <c r="AH179" i="76"/>
  <c r="AH167" i="76"/>
  <c r="AH166" i="76"/>
  <c r="AH153" i="76"/>
  <c r="AH150" i="76"/>
  <c r="AH148" i="76"/>
  <c r="AH144" i="76"/>
  <c r="AH143" i="76"/>
  <c r="AH131" i="76"/>
  <c r="AH125" i="76"/>
  <c r="AH123" i="76"/>
  <c r="AH121" i="76"/>
  <c r="AH116" i="76"/>
  <c r="AH112" i="76"/>
  <c r="AH102" i="76"/>
  <c r="AH93" i="76"/>
  <c r="AH86" i="76"/>
  <c r="AH84" i="76"/>
  <c r="AH69" i="76"/>
  <c r="AH67" i="76"/>
  <c r="AH65" i="76"/>
  <c r="AH58" i="76"/>
  <c r="AH55" i="76"/>
  <c r="AH47" i="76"/>
  <c r="AH44" i="76"/>
  <c r="AH21" i="76"/>
  <c r="AH152" i="76"/>
  <c r="AH145" i="76"/>
  <c r="AH130" i="76"/>
  <c r="AH115" i="76"/>
  <c r="AH111" i="76"/>
  <c r="AH106" i="76"/>
  <c r="AH105" i="76"/>
  <c r="AH78" i="76"/>
  <c r="AH77" i="76"/>
  <c r="AH75" i="76"/>
  <c r="AH74" i="76"/>
  <c r="AH57" i="76"/>
  <c r="AH46" i="76"/>
  <c r="AH38" i="76"/>
  <c r="AH36" i="76"/>
  <c r="AH34" i="76"/>
  <c r="AH30" i="76"/>
  <c r="AH28" i="76"/>
  <c r="AH20" i="76"/>
  <c r="AH14" i="76"/>
  <c r="AH151" i="76"/>
  <c r="AH149" i="76"/>
  <c r="AH147" i="76"/>
  <c r="AH126" i="76"/>
  <c r="AH124" i="76"/>
  <c r="AH122" i="76"/>
  <c r="AH120" i="76"/>
  <c r="AH114" i="76"/>
  <c r="AH110" i="76"/>
  <c r="AH104" i="76"/>
  <c r="AH94" i="76"/>
  <c r="AH87" i="76"/>
  <c r="AH85" i="76"/>
  <c r="AH68" i="76"/>
  <c r="AH66" i="76"/>
  <c r="AH64" i="76"/>
  <c r="AH56" i="76"/>
  <c r="AH54" i="76"/>
  <c r="AH23" i="76"/>
  <c r="AH13" i="76"/>
  <c r="AH165" i="76"/>
  <c r="AH164" i="76"/>
  <c r="AH163" i="76"/>
  <c r="AH160" i="76"/>
  <c r="AH159" i="76"/>
  <c r="AH156" i="76"/>
  <c r="AH146" i="76"/>
  <c r="AH142" i="76"/>
  <c r="AH129" i="76"/>
  <c r="AH113" i="76"/>
  <c r="AH109" i="76"/>
  <c r="AH103" i="76"/>
  <c r="AH95" i="76"/>
  <c r="AH59" i="76"/>
  <c r="AH48" i="76"/>
  <c r="AH45" i="76"/>
  <c r="AH39" i="76"/>
  <c r="AH37" i="76"/>
  <c r="AH35" i="76"/>
  <c r="AH29" i="76"/>
  <c r="AH22" i="76"/>
  <c r="AH12" i="76"/>
  <c r="I49" i="26" l="1"/>
  <c r="Q124" i="76"/>
  <c r="AM124" i="76"/>
  <c r="Y155" i="76"/>
  <c r="H140" i="22"/>
  <c r="H147" i="22"/>
  <c r="H290" i="22"/>
  <c r="H459" i="22"/>
  <c r="H862" i="22"/>
  <c r="H880" i="22"/>
  <c r="H968" i="22"/>
  <c r="H124" i="22"/>
  <c r="I124" i="22" s="1"/>
  <c r="H134" i="22"/>
  <c r="H187" i="22"/>
  <c r="H418" i="22"/>
  <c r="H538" i="22"/>
  <c r="H695" i="22"/>
  <c r="H937" i="22"/>
  <c r="J63" i="76"/>
  <c r="U247" i="76"/>
  <c r="AO247" i="76" s="1"/>
  <c r="BA202" i="76"/>
  <c r="AN216" i="76"/>
  <c r="AN150" i="76"/>
  <c r="AN253" i="76"/>
  <c r="G12" i="78"/>
  <c r="G20" i="78"/>
  <c r="G24" i="78" s="1"/>
  <c r="G28" i="78" s="1"/>
  <c r="G32" i="78" s="1"/>
  <c r="G36" i="78" s="1"/>
  <c r="G16" i="78"/>
  <c r="H280" i="22"/>
  <c r="H406" i="22"/>
  <c r="H813" i="22"/>
  <c r="I813" i="22" s="1"/>
  <c r="H874" i="22"/>
  <c r="I874" i="22" s="1"/>
  <c r="H931" i="22"/>
  <c r="G528" i="22"/>
  <c r="I528" i="22" s="1"/>
  <c r="G803" i="22"/>
  <c r="I803" i="22" s="1"/>
  <c r="O253" i="76"/>
  <c r="AM253" i="76" s="1"/>
  <c r="D23" i="78"/>
  <c r="D11" i="78"/>
  <c r="G169" i="63"/>
  <c r="G150" i="63"/>
  <c r="G7" i="85"/>
  <c r="G966" i="22"/>
  <c r="I966" i="22" s="1"/>
  <c r="G960" i="22"/>
  <c r="I960" i="22" s="1"/>
  <c r="G941" i="22"/>
  <c r="I941" i="22" s="1"/>
  <c r="G935" i="22"/>
  <c r="I935" i="22" s="1"/>
  <c r="G929" i="22"/>
  <c r="I929" i="22" s="1"/>
  <c r="G905" i="22"/>
  <c r="I905" i="22" s="1"/>
  <c r="G890" i="22"/>
  <c r="I890" i="22" s="1"/>
  <c r="G872" i="22"/>
  <c r="I872" i="22" s="1"/>
  <c r="G853" i="22"/>
  <c r="I853" i="22" s="1"/>
  <c r="G843" i="22"/>
  <c r="I843" i="22" s="1"/>
  <c r="G830" i="22"/>
  <c r="I830" i="22" s="1"/>
  <c r="G824" i="22"/>
  <c r="I824" i="22" s="1"/>
  <c r="G804" i="22"/>
  <c r="I804" i="22" s="1"/>
  <c r="G797" i="22"/>
  <c r="I797" i="22" s="1"/>
  <c r="G770" i="22"/>
  <c r="I770" i="22" s="1"/>
  <c r="G733" i="22"/>
  <c r="I733" i="22" s="1"/>
  <c r="G715" i="22"/>
  <c r="I715" i="22" s="1"/>
  <c r="G727" i="22"/>
  <c r="I727" i="22" s="1"/>
  <c r="G702" i="22"/>
  <c r="I702" i="22" s="1"/>
  <c r="G653" i="22"/>
  <c r="I653" i="22" s="1"/>
  <c r="G623" i="22"/>
  <c r="I623" i="22" s="1"/>
  <c r="G615" i="22"/>
  <c r="I615" i="22" s="1"/>
  <c r="G444" i="22"/>
  <c r="I444" i="22" s="1"/>
  <c r="G416" i="22"/>
  <c r="I416" i="22" s="1"/>
  <c r="G396" i="22"/>
  <c r="I396" i="22" s="1"/>
  <c r="G388" i="22"/>
  <c r="I388" i="22" s="1"/>
  <c r="G354" i="22"/>
  <c r="I354" i="22" s="1"/>
  <c r="G332" i="22"/>
  <c r="I332" i="22" s="1"/>
  <c r="G316" i="22"/>
  <c r="I316" i="22" s="1"/>
  <c r="G278" i="22"/>
  <c r="I278" i="22" s="1"/>
  <c r="G272" i="22"/>
  <c r="I272" i="22" s="1"/>
  <c r="G227" i="22"/>
  <c r="I227" i="22" s="1"/>
  <c r="G221" i="22"/>
  <c r="I221" i="22" s="1"/>
  <c r="G168" i="22"/>
  <c r="I168" i="22" s="1"/>
  <c r="G78" i="22"/>
  <c r="I78" i="22" s="1"/>
  <c r="G50" i="22"/>
  <c r="I50" i="22" s="1"/>
  <c r="G37" i="22"/>
  <c r="I37" i="22" s="1"/>
  <c r="G8" i="74"/>
  <c r="G62" i="90"/>
  <c r="I62" i="90" s="1"/>
  <c r="G19" i="90"/>
  <c r="G7" i="90"/>
  <c r="I7" i="90" s="1"/>
  <c r="G15" i="63"/>
  <c r="G991" i="22"/>
  <c r="I991" i="22" s="1"/>
  <c r="G985" i="22"/>
  <c r="I985" i="22" s="1"/>
  <c r="G954" i="22"/>
  <c r="I954" i="22" s="1"/>
  <c r="G923" i="22"/>
  <c r="I923" i="22" s="1"/>
  <c r="G866" i="22"/>
  <c r="I866" i="22" s="1"/>
  <c r="G860" i="22"/>
  <c r="I860" i="22" s="1"/>
  <c r="G837" i="22"/>
  <c r="I837" i="22" s="1"/>
  <c r="G693" i="22"/>
  <c r="I693" i="22" s="1"/>
  <c r="G680" i="22"/>
  <c r="I680" i="22" s="1"/>
  <c r="G667" i="22"/>
  <c r="I667" i="22" s="1"/>
  <c r="G659" i="22"/>
  <c r="I659" i="22" s="1"/>
  <c r="G576" i="22"/>
  <c r="I576" i="22" s="1"/>
  <c r="G470" i="22"/>
  <c r="I470" i="22" s="1"/>
  <c r="G457" i="22"/>
  <c r="I457" i="22" s="1"/>
  <c r="G428" i="22"/>
  <c r="I428" i="22" s="1"/>
  <c r="I425" i="22" s="1"/>
  <c r="G382" i="22"/>
  <c r="I382" i="22" s="1"/>
  <c r="G339" i="22"/>
  <c r="I339" i="22" s="1"/>
  <c r="G310" i="22"/>
  <c r="I310" i="22" s="1"/>
  <c r="G200" i="22"/>
  <c r="I200" i="22" s="1"/>
  <c r="G185" i="22"/>
  <c r="I185" i="22" s="1"/>
  <c r="G160" i="22"/>
  <c r="I160" i="22" s="1"/>
  <c r="G151" i="22"/>
  <c r="I151" i="22" s="1"/>
  <c r="G122" i="22"/>
  <c r="I122" i="22" s="1"/>
  <c r="G31" i="22"/>
  <c r="I31" i="22" s="1"/>
  <c r="G25" i="22"/>
  <c r="I25" i="22" s="1"/>
  <c r="G49" i="90"/>
  <c r="G53" i="90"/>
  <c r="I53" i="90" s="1"/>
  <c r="G57" i="90"/>
  <c r="G11" i="90"/>
  <c r="AH157" i="76"/>
  <c r="AH161" i="76"/>
  <c r="AH133" i="76"/>
  <c r="M13" i="87"/>
  <c r="AL109" i="76"/>
  <c r="AR146" i="76"/>
  <c r="AN247" i="76"/>
  <c r="AN156" i="76"/>
  <c r="AQ338" i="76"/>
  <c r="AR115" i="76"/>
  <c r="AR94" i="76"/>
  <c r="B27" i="79"/>
  <c r="G7" i="66"/>
  <c r="G13" i="66" s="1"/>
  <c r="G19" i="66" s="1"/>
  <c r="U194" i="76"/>
  <c r="AO194" i="76" s="1"/>
  <c r="G37" i="90"/>
  <c r="G786" i="22"/>
  <c r="I786" i="22" s="1"/>
  <c r="AF75" i="76"/>
  <c r="AK75" i="76"/>
  <c r="T77" i="76"/>
  <c r="AK77" i="76"/>
  <c r="Y77" i="76"/>
  <c r="T110" i="76"/>
  <c r="AN110" i="76" s="1"/>
  <c r="Y110" i="76"/>
  <c r="AF110" i="76"/>
  <c r="T113" i="76"/>
  <c r="AN113" i="76" s="1"/>
  <c r="AF113" i="76"/>
  <c r="Q115" i="76"/>
  <c r="U123" i="76"/>
  <c r="AO123" i="76" s="1"/>
  <c r="V123" i="76"/>
  <c r="U258" i="76"/>
  <c r="AO258" i="76" s="1"/>
  <c r="V270" i="76"/>
  <c r="P270" i="76"/>
  <c r="Q319" i="76"/>
  <c r="AQ319" i="76" s="1"/>
  <c r="G92" i="22"/>
  <c r="I92" i="22" s="1"/>
  <c r="G110" i="22"/>
  <c r="I110" i="22" s="1"/>
  <c r="G138" i="22"/>
  <c r="I138" i="22" s="1"/>
  <c r="G192" i="22"/>
  <c r="I192" i="22" s="1"/>
  <c r="I189" i="22" s="1"/>
  <c r="H334" i="22"/>
  <c r="G438" i="22"/>
  <c r="I438" i="22" s="1"/>
  <c r="G450" i="22"/>
  <c r="I450" i="22" s="1"/>
  <c r="H452" i="22"/>
  <c r="G583" i="22"/>
  <c r="I583" i="22" s="1"/>
  <c r="G780" i="22"/>
  <c r="I780" i="22" s="1"/>
  <c r="G911" i="22"/>
  <c r="I911" i="22" s="1"/>
  <c r="G917" i="22"/>
  <c r="I917" i="22" s="1"/>
  <c r="G947" i="22"/>
  <c r="I947" i="22" s="1"/>
  <c r="H999" i="22"/>
  <c r="F1216" i="45"/>
  <c r="F1248" i="45" s="1"/>
  <c r="F1254" i="45" s="1"/>
  <c r="D15" i="78"/>
  <c r="O300" i="76"/>
  <c r="AM300" i="76" s="1"/>
  <c r="M131" i="76"/>
  <c r="J128" i="76"/>
  <c r="G76" i="85"/>
  <c r="AF205" i="76"/>
  <c r="AK205" i="76"/>
  <c r="BA195" i="76"/>
  <c r="AS133" i="76"/>
  <c r="AK229" i="76"/>
  <c r="V144" i="76"/>
  <c r="X144" i="76" s="1"/>
  <c r="AP144" i="76" s="1"/>
  <c r="P144" i="76"/>
  <c r="U341" i="76"/>
  <c r="AO341" i="76" s="1"/>
  <c r="H153" i="22"/>
  <c r="I153" i="22" s="1"/>
  <c r="H215" i="22"/>
  <c r="I215" i="22" s="1"/>
  <c r="H723" i="22"/>
  <c r="H886" i="22"/>
  <c r="V106" i="76"/>
  <c r="P106" i="76"/>
  <c r="AP106" i="76" s="1"/>
  <c r="O333" i="76"/>
  <c r="AM333" i="76" s="1"/>
  <c r="O125" i="76"/>
  <c r="AM125" i="76" s="1"/>
  <c r="Q11" i="80"/>
  <c r="L11" i="80"/>
  <c r="E10" i="80"/>
  <c r="AH76" i="76"/>
  <c r="BA112" i="76"/>
  <c r="BA219" i="76"/>
  <c r="AS161" i="76"/>
  <c r="AS333" i="76"/>
  <c r="AR333" i="76"/>
  <c r="AN144" i="76"/>
  <c r="AR206" i="76"/>
  <c r="AN303" i="76"/>
  <c r="AN328" i="76"/>
  <c r="AN121" i="76"/>
  <c r="AR301" i="76"/>
  <c r="AH158" i="76"/>
  <c r="AH162" i="76"/>
  <c r="AH333" i="76"/>
  <c r="AS73" i="76"/>
  <c r="AR257" i="76"/>
  <c r="AN130" i="76"/>
  <c r="AR217" i="76"/>
  <c r="AQ322" i="76"/>
  <c r="AR195" i="76"/>
  <c r="AR58" i="76"/>
  <c r="AN37" i="76"/>
  <c r="AN181" i="76"/>
  <c r="AN334" i="76"/>
  <c r="AR183" i="76"/>
  <c r="AO13" i="76"/>
  <c r="AN23" i="76"/>
  <c r="AR179" i="76"/>
  <c r="AN46" i="76"/>
  <c r="AR144" i="76"/>
  <c r="AR125" i="76"/>
  <c r="AN126" i="76"/>
  <c r="AK113" i="76"/>
  <c r="V126" i="76"/>
  <c r="G21" i="78"/>
  <c r="G42" i="78" s="1"/>
  <c r="G46" i="78" s="1"/>
  <c r="G50" i="78" s="1"/>
  <c r="G13" i="78"/>
  <c r="V94" i="76"/>
  <c r="V23" i="76"/>
  <c r="G59" i="85"/>
  <c r="G42" i="90"/>
  <c r="U69" i="76"/>
  <c r="AO69" i="76" s="1"/>
  <c r="Q183" i="76"/>
  <c r="Q217" i="76"/>
  <c r="Q221" i="76"/>
  <c r="Q228" i="76"/>
  <c r="H27" i="22"/>
  <c r="G84" i="22"/>
  <c r="I84" i="22" s="1"/>
  <c r="G101" i="22"/>
  <c r="I101" i="22" s="1"/>
  <c r="G116" i="22"/>
  <c r="I116" i="22" s="1"/>
  <c r="G177" i="22"/>
  <c r="I177" i="22" s="1"/>
  <c r="G233" i="22"/>
  <c r="I233" i="22" s="1"/>
  <c r="G326" i="22"/>
  <c r="I326" i="22" s="1"/>
  <c r="G422" i="22"/>
  <c r="I422" i="22" s="1"/>
  <c r="G510" i="22"/>
  <c r="I510" i="22" s="1"/>
  <c r="H518" i="22"/>
  <c r="G544" i="22"/>
  <c r="I544" i="22" s="1"/>
  <c r="G550" i="22"/>
  <c r="I550" i="22" s="1"/>
  <c r="G557" i="22"/>
  <c r="I557" i="22" s="1"/>
  <c r="G570" i="22"/>
  <c r="I570" i="22" s="1"/>
  <c r="G589" i="22"/>
  <c r="I589" i="22" s="1"/>
  <c r="G598" i="22"/>
  <c r="I598" i="22" s="1"/>
  <c r="I595" i="22" s="1"/>
  <c r="H600" i="22"/>
  <c r="G607" i="22"/>
  <c r="I607" i="22" s="1"/>
  <c r="G708" i="22"/>
  <c r="I708" i="22" s="1"/>
  <c r="G787" i="22"/>
  <c r="I787" i="22" s="1"/>
  <c r="G898" i="22"/>
  <c r="I898" i="22" s="1"/>
  <c r="H907" i="22"/>
  <c r="I907" i="22" s="1"/>
  <c r="H913" i="22"/>
  <c r="H919" i="22"/>
  <c r="I919" i="22" s="1"/>
  <c r="H943" i="22"/>
  <c r="I943" i="22" s="1"/>
  <c r="G972" i="22"/>
  <c r="I972" i="22" s="1"/>
  <c r="G978" i="22"/>
  <c r="I978" i="22" s="1"/>
  <c r="D19" i="78"/>
  <c r="D6" i="68"/>
  <c r="E16" i="69"/>
  <c r="E14" i="69"/>
  <c r="E15" i="69" s="1"/>
  <c r="D28" i="93"/>
  <c r="D26" i="91"/>
  <c r="P217" i="76"/>
  <c r="I23" i="90"/>
  <c r="I61" i="90"/>
  <c r="I60" i="90" s="1"/>
  <c r="G23" i="94" s="1"/>
  <c r="H162" i="22"/>
  <c r="H235" i="22"/>
  <c r="H347" i="22"/>
  <c r="H440" i="22"/>
  <c r="H446" i="22"/>
  <c r="H572" i="22"/>
  <c r="I572" i="22" s="1"/>
  <c r="H641" i="22"/>
  <c r="I641" i="22" s="1"/>
  <c r="H661" i="22"/>
  <c r="H669" i="22"/>
  <c r="H682" i="22"/>
  <c r="H689" i="22"/>
  <c r="I689" i="22" s="1"/>
  <c r="H710" i="22"/>
  <c r="H826" i="22"/>
  <c r="H832" i="22"/>
  <c r="H839" i="22"/>
  <c r="H868" i="22"/>
  <c r="H900" i="22"/>
  <c r="H925" i="22"/>
  <c r="I925" i="22" s="1"/>
  <c r="H956" i="22"/>
  <c r="I956" i="22" s="1"/>
  <c r="H974" i="22"/>
  <c r="H987" i="22"/>
  <c r="H993" i="22"/>
  <c r="E27" i="104"/>
  <c r="Y10" i="76"/>
  <c r="Y128" i="76"/>
  <c r="L141" i="76"/>
  <c r="H11" i="22"/>
  <c r="H33" i="22"/>
  <c r="I33" i="22" s="1"/>
  <c r="H80" i="22"/>
  <c r="H86" i="22"/>
  <c r="H170" i="22"/>
  <c r="H179" i="22"/>
  <c r="H223" i="22"/>
  <c r="H318" i="22"/>
  <c r="AL226" i="76"/>
  <c r="AN219" i="76"/>
  <c r="V192" i="76"/>
  <c r="N104" i="76"/>
  <c r="Q104" i="76" s="1"/>
  <c r="AR104" i="76"/>
  <c r="U132" i="76"/>
  <c r="AO132" i="76" s="1"/>
  <c r="AN132" i="76"/>
  <c r="U133" i="76"/>
  <c r="AO133" i="76" s="1"/>
  <c r="AN133" i="76"/>
  <c r="AN142" i="76"/>
  <c r="V142" i="76"/>
  <c r="V146" i="76"/>
  <c r="AN146" i="76"/>
  <c r="V185" i="76"/>
  <c r="AN185" i="76"/>
  <c r="U259" i="76"/>
  <c r="AO259" i="76" s="1"/>
  <c r="AN259" i="76"/>
  <c r="U301" i="76"/>
  <c r="AO301" i="76" s="1"/>
  <c r="AN301" i="76"/>
  <c r="U332" i="76"/>
  <c r="AO332" i="76" s="1"/>
  <c r="G11" i="74"/>
  <c r="G24" i="74" s="1"/>
  <c r="I7" i="74"/>
  <c r="H94" i="22"/>
  <c r="I147" i="22"/>
  <c r="F8" i="79"/>
  <c r="F8" i="75"/>
  <c r="AH27" i="76"/>
  <c r="BA65" i="76"/>
  <c r="BA325" i="76"/>
  <c r="BA220" i="76"/>
  <c r="AO245" i="76"/>
  <c r="AR68" i="76"/>
  <c r="AR37" i="76"/>
  <c r="V206" i="76"/>
  <c r="AO206" i="76"/>
  <c r="Y226" i="76"/>
  <c r="U85" i="76"/>
  <c r="AO85" i="76" s="1"/>
  <c r="AN85" i="76"/>
  <c r="N105" i="76"/>
  <c r="Q105" i="76" s="1"/>
  <c r="AR105" i="76"/>
  <c r="T109" i="76"/>
  <c r="AN109" i="76" s="1"/>
  <c r="AF109" i="76"/>
  <c r="T155" i="76"/>
  <c r="AN157" i="76"/>
  <c r="P161" i="76"/>
  <c r="X161" i="76" s="1"/>
  <c r="AP161" i="76" s="1"/>
  <c r="AN161" i="76"/>
  <c r="V166" i="76"/>
  <c r="AN166" i="76"/>
  <c r="P166" i="76"/>
  <c r="V179" i="76"/>
  <c r="AN179" i="76"/>
  <c r="F18" i="72"/>
  <c r="G14" i="72"/>
  <c r="G18" i="72" s="1"/>
  <c r="H24" i="66"/>
  <c r="H27" i="66" s="1"/>
  <c r="C32" i="65"/>
  <c r="F3" i="64"/>
  <c r="C29" i="65"/>
  <c r="D19" i="93"/>
  <c r="D17" i="91"/>
  <c r="R11" i="80"/>
  <c r="R10" i="80" s="1"/>
  <c r="Q10" i="80"/>
  <c r="U219" i="76"/>
  <c r="AO219" i="76" s="1"/>
  <c r="N13" i="76"/>
  <c r="Q13" i="76" s="1"/>
  <c r="BA13" i="76" s="1"/>
  <c r="AR13" i="76"/>
  <c r="U22" i="76"/>
  <c r="AO22" i="76" s="1"/>
  <c r="U48" i="76"/>
  <c r="AN48" i="76"/>
  <c r="U54" i="76"/>
  <c r="AN54" i="76"/>
  <c r="U56" i="76"/>
  <c r="AO56" i="76" s="1"/>
  <c r="AN56" i="76"/>
  <c r="U67" i="76"/>
  <c r="AO67" i="76" s="1"/>
  <c r="AN67" i="76"/>
  <c r="U254" i="76"/>
  <c r="I538" i="22"/>
  <c r="V105" i="76"/>
  <c r="P105" i="76"/>
  <c r="AP105" i="76" s="1"/>
  <c r="O303" i="76"/>
  <c r="AM303" i="76" s="1"/>
  <c r="N259" i="76"/>
  <c r="AR259" i="76"/>
  <c r="O68" i="76"/>
  <c r="AM68" i="76" s="1"/>
  <c r="N64" i="76"/>
  <c r="AR64" i="76"/>
  <c r="N56" i="76"/>
  <c r="O56" i="76" s="1"/>
  <c r="P56" i="76" s="1"/>
  <c r="AR56" i="76"/>
  <c r="N48" i="76"/>
  <c r="O48" i="76" s="1"/>
  <c r="AR48" i="76"/>
  <c r="N22" i="76"/>
  <c r="O22" i="76" s="1"/>
  <c r="AR22" i="76"/>
  <c r="AR299" i="76"/>
  <c r="AR11" i="76"/>
  <c r="AN254" i="76"/>
  <c r="AF203" i="76"/>
  <c r="AF226" i="76"/>
  <c r="F8" i="91"/>
  <c r="U64" i="76"/>
  <c r="AO64" i="76" s="1"/>
  <c r="AN64" i="76"/>
  <c r="T229" i="76"/>
  <c r="AF229" i="76"/>
  <c r="I832" i="22"/>
  <c r="C33" i="67"/>
  <c r="N341" i="76"/>
  <c r="AR341" i="76"/>
  <c r="O334" i="76"/>
  <c r="AM334" i="76" s="1"/>
  <c r="N328" i="76"/>
  <c r="AR328" i="76"/>
  <c r="O258" i="76"/>
  <c r="AM258" i="76" s="1"/>
  <c r="O254" i="76"/>
  <c r="AM254" i="76" s="1"/>
  <c r="Q254" i="76"/>
  <c r="O246" i="76"/>
  <c r="AM246" i="76" s="1"/>
  <c r="N236" i="76"/>
  <c r="AR236" i="76"/>
  <c r="N218" i="76"/>
  <c r="O218" i="76" s="1"/>
  <c r="AR218" i="76"/>
  <c r="O207" i="76"/>
  <c r="AM207" i="76" s="1"/>
  <c r="O203" i="76"/>
  <c r="AM203" i="76" s="1"/>
  <c r="N196" i="76"/>
  <c r="AR196" i="76"/>
  <c r="N192" i="76"/>
  <c r="N189" i="76" s="1"/>
  <c r="M189" i="76"/>
  <c r="AR192" i="76"/>
  <c r="N184" i="76"/>
  <c r="O184" i="76" s="1"/>
  <c r="AM184" i="76" s="1"/>
  <c r="AR184" i="76"/>
  <c r="N180" i="76"/>
  <c r="AR180" i="76"/>
  <c r="N151" i="76"/>
  <c r="O151" i="76" s="1"/>
  <c r="P151" i="76" s="1"/>
  <c r="AR151" i="76"/>
  <c r="N142" i="76"/>
  <c r="AR142" i="76"/>
  <c r="O126" i="76"/>
  <c r="AM126" i="76" s="1"/>
  <c r="O123" i="76"/>
  <c r="AM123" i="76" s="1"/>
  <c r="O116" i="76"/>
  <c r="AM116" i="76" s="1"/>
  <c r="O95" i="76"/>
  <c r="AM95" i="76" s="1"/>
  <c r="O86" i="76"/>
  <c r="AM86" i="76" s="1"/>
  <c r="U120" i="76"/>
  <c r="AO120" i="76" s="1"/>
  <c r="V160" i="76"/>
  <c r="P160" i="76"/>
  <c r="Y201" i="76"/>
  <c r="T201" i="76"/>
  <c r="H103" i="22"/>
  <c r="H112" i="22"/>
  <c r="G973" i="22"/>
  <c r="I973" i="22" s="1"/>
  <c r="G955" i="22"/>
  <c r="I955" i="22" s="1"/>
  <c r="G948" i="22"/>
  <c r="I948" i="22" s="1"/>
  <c r="G936" i="22"/>
  <c r="I936" i="22" s="1"/>
  <c r="G918" i="22"/>
  <c r="I918" i="22" s="1"/>
  <c r="G838" i="22"/>
  <c r="I838" i="22" s="1"/>
  <c r="G812" i="22"/>
  <c r="I812" i="22" s="1"/>
  <c r="G788" i="22"/>
  <c r="I788" i="22" s="1"/>
  <c r="G771" i="22"/>
  <c r="I771" i="22" s="1"/>
  <c r="G660" i="22"/>
  <c r="I660" i="22" s="1"/>
  <c r="G640" i="22"/>
  <c r="I640" i="22" s="1"/>
  <c r="G545" i="22"/>
  <c r="I545" i="22" s="1"/>
  <c r="G530" i="22"/>
  <c r="I530" i="22" s="1"/>
  <c r="G423" i="22"/>
  <c r="I423" i="22" s="1"/>
  <c r="G383" i="22"/>
  <c r="I383" i="22" s="1"/>
  <c r="G279" i="22"/>
  <c r="I279" i="22" s="1"/>
  <c r="G178" i="22"/>
  <c r="I178" i="22" s="1"/>
  <c r="G169" i="22"/>
  <c r="I169" i="22" s="1"/>
  <c r="G123" i="22"/>
  <c r="I123" i="22" s="1"/>
  <c r="G93" i="22"/>
  <c r="I93" i="22" s="1"/>
  <c r="G10" i="22"/>
  <c r="I10" i="22" s="1"/>
  <c r="G979" i="22"/>
  <c r="I979" i="22" s="1"/>
  <c r="G961" i="22"/>
  <c r="I961" i="22" s="1"/>
  <c r="G942" i="22"/>
  <c r="I942" i="22" s="1"/>
  <c r="G906" i="22"/>
  <c r="I906" i="22" s="1"/>
  <c r="G899" i="22"/>
  <c r="I899" i="22" s="1"/>
  <c r="G861" i="22"/>
  <c r="I861" i="22" s="1"/>
  <c r="G781" i="22"/>
  <c r="I781" i="22" s="1"/>
  <c r="G716" i="22"/>
  <c r="I716" i="22" s="1"/>
  <c r="G646" i="22"/>
  <c r="I646" i="22" s="1"/>
  <c r="G624" i="22"/>
  <c r="I624" i="22" s="1"/>
  <c r="G464" i="22"/>
  <c r="I464" i="22" s="1"/>
  <c r="G451" i="22"/>
  <c r="I451" i="22" s="1"/>
  <c r="G397" i="22"/>
  <c r="I397" i="22" s="1"/>
  <c r="G362" i="22"/>
  <c r="I362" i="22" s="1"/>
  <c r="G340" i="22"/>
  <c r="I340" i="22" s="1"/>
  <c r="G333" i="22"/>
  <c r="I333" i="22" s="1"/>
  <c r="G273" i="22"/>
  <c r="I273" i="22" s="1"/>
  <c r="G208" i="22"/>
  <c r="I208" i="22" s="1"/>
  <c r="G152" i="22"/>
  <c r="I152" i="22" s="1"/>
  <c r="G51" i="22"/>
  <c r="I51" i="22" s="1"/>
  <c r="G44" i="22"/>
  <c r="I44" i="22" s="1"/>
  <c r="G26" i="22"/>
  <c r="I26" i="22" s="1"/>
  <c r="V103" i="76"/>
  <c r="P103" i="76"/>
  <c r="AP103" i="76" s="1"/>
  <c r="O301" i="76"/>
  <c r="AM301" i="76" s="1"/>
  <c r="M279" i="76"/>
  <c r="J277" i="76"/>
  <c r="O46" i="76"/>
  <c r="AM46" i="76" s="1"/>
  <c r="O39" i="76"/>
  <c r="AM39" i="76" s="1"/>
  <c r="H41" i="90"/>
  <c r="H42" i="90"/>
  <c r="G99" i="63"/>
  <c r="G107" i="63" s="1"/>
  <c r="I107" i="63" s="1"/>
  <c r="G996" i="22"/>
  <c r="I996" i="22" s="1"/>
  <c r="G953" i="22"/>
  <c r="I953" i="22" s="1"/>
  <c r="G836" i="22"/>
  <c r="I836" i="22" s="1"/>
  <c r="G277" i="22"/>
  <c r="I277" i="22" s="1"/>
  <c r="I275" i="22" s="1"/>
  <c r="G232" i="22"/>
  <c r="I232" i="22" s="1"/>
  <c r="G176" i="22"/>
  <c r="I176" i="22" s="1"/>
  <c r="G99" i="22"/>
  <c r="I99" i="22" s="1"/>
  <c r="G30" i="22"/>
  <c r="I30" i="22" s="1"/>
  <c r="G977" i="22"/>
  <c r="I977" i="22" s="1"/>
  <c r="I975" i="22" s="1"/>
  <c r="G940" i="22"/>
  <c r="I940" i="22" s="1"/>
  <c r="G859" i="22"/>
  <c r="I859" i="22" s="1"/>
  <c r="G720" i="22"/>
  <c r="I720" i="22" s="1"/>
  <c r="G622" i="22"/>
  <c r="I622" i="22" s="1"/>
  <c r="G582" i="22"/>
  <c r="I582" i="22" s="1"/>
  <c r="G206" i="22"/>
  <c r="I206" i="22" s="1"/>
  <c r="P207" i="76"/>
  <c r="Y234" i="76"/>
  <c r="P264" i="76"/>
  <c r="V264" i="76"/>
  <c r="D16" i="74"/>
  <c r="D21" i="74" s="1"/>
  <c r="D25" i="74"/>
  <c r="D29" i="74" s="1"/>
  <c r="H209" i="22"/>
  <c r="H229" i="22"/>
  <c r="I229" i="22" s="1"/>
  <c r="H274" i="22"/>
  <c r="H306" i="22"/>
  <c r="H552" i="22"/>
  <c r="I552" i="22" s="1"/>
  <c r="H735" i="22"/>
  <c r="I735" i="22" s="1"/>
  <c r="I751" i="22" s="1"/>
  <c r="I766" i="22" s="1"/>
  <c r="H845" i="22"/>
  <c r="O227" i="76"/>
  <c r="AM227" i="76" s="1"/>
  <c r="O216" i="76"/>
  <c r="AM216" i="76" s="1"/>
  <c r="O205" i="76"/>
  <c r="AM205" i="76" s="1"/>
  <c r="O201" i="76"/>
  <c r="AM201" i="76" s="1"/>
  <c r="O182" i="76"/>
  <c r="AM182" i="76" s="1"/>
  <c r="Q182" i="76"/>
  <c r="I52" i="90"/>
  <c r="I48" i="90"/>
  <c r="L53" i="76"/>
  <c r="G9" i="76"/>
  <c r="X140" i="76"/>
  <c r="T178" i="76"/>
  <c r="K243" i="76"/>
  <c r="D30" i="73"/>
  <c r="E27" i="73" s="1"/>
  <c r="G30" i="73"/>
  <c r="H27" i="73" s="1"/>
  <c r="H19" i="22"/>
  <c r="I19" i="22" s="1"/>
  <c r="H39" i="22"/>
  <c r="H118" i="22"/>
  <c r="H341" i="22"/>
  <c r="H472" i="22"/>
  <c r="H585" i="22"/>
  <c r="I585" i="22" s="1"/>
  <c r="H617" i="22"/>
  <c r="H647" i="22"/>
  <c r="H655" i="22"/>
  <c r="H717" i="22"/>
  <c r="H949" i="22"/>
  <c r="H962" i="22"/>
  <c r="O78" i="76"/>
  <c r="O45" i="76"/>
  <c r="Q45" i="76" s="1"/>
  <c r="I31" i="90"/>
  <c r="I36" i="90"/>
  <c r="I57" i="90"/>
  <c r="E56" i="26"/>
  <c r="H772" i="22"/>
  <c r="H782" i="22"/>
  <c r="H789" i="22"/>
  <c r="H799" i="22"/>
  <c r="H806" i="22"/>
  <c r="I806" i="22" s="1"/>
  <c r="P179" i="76"/>
  <c r="X179" i="76" s="1"/>
  <c r="AP179" i="76" s="1"/>
  <c r="O73" i="76"/>
  <c r="O59" i="76"/>
  <c r="AM59" i="76" s="1"/>
  <c r="N43" i="76"/>
  <c r="O44" i="76"/>
  <c r="O36" i="76"/>
  <c r="AM36" i="76" s="1"/>
  <c r="G89" i="85"/>
  <c r="G66" i="85"/>
  <c r="G32" i="63"/>
  <c r="G37" i="97"/>
  <c r="F5" i="62"/>
  <c r="E18" i="62" s="1"/>
  <c r="F8" i="70" s="1"/>
  <c r="O323" i="76"/>
  <c r="AM323" i="76" s="1"/>
  <c r="AO204" i="76"/>
  <c r="H23" i="73"/>
  <c r="H21" i="73"/>
  <c r="H29" i="73"/>
  <c r="H28" i="73"/>
  <c r="H19" i="73"/>
  <c r="H24" i="73"/>
  <c r="H25" i="73"/>
  <c r="O204" i="76"/>
  <c r="AM204" i="76" s="1"/>
  <c r="BA304" i="76"/>
  <c r="BA309" i="76"/>
  <c r="AS340" i="76"/>
  <c r="AQ264" i="76"/>
  <c r="AR321" i="76"/>
  <c r="AO236" i="76"/>
  <c r="AF231" i="76"/>
  <c r="AF204" i="76"/>
  <c r="G15" i="78"/>
  <c r="V28" i="76"/>
  <c r="I18" i="90"/>
  <c r="U44" i="76"/>
  <c r="AO44" i="76" s="1"/>
  <c r="T43" i="76"/>
  <c r="U172" i="76"/>
  <c r="AO172" i="76" s="1"/>
  <c r="T169" i="76"/>
  <c r="V180" i="76"/>
  <c r="E250" i="76"/>
  <c r="U252" i="76"/>
  <c r="Y277" i="76"/>
  <c r="U280" i="76"/>
  <c r="V280" i="76" s="1"/>
  <c r="H390" i="22"/>
  <c r="M339" i="76"/>
  <c r="J337" i="76"/>
  <c r="M337" i="76" s="1"/>
  <c r="O280" i="76"/>
  <c r="AM280" i="76" s="1"/>
  <c r="N215" i="76"/>
  <c r="O215" i="76" s="1"/>
  <c r="AM215" i="76" s="1"/>
  <c r="M214" i="76"/>
  <c r="O190" i="76"/>
  <c r="AM190" i="76" s="1"/>
  <c r="O110" i="76"/>
  <c r="AM110" i="76" s="1"/>
  <c r="O84" i="76"/>
  <c r="Q84" i="76"/>
  <c r="M26" i="76"/>
  <c r="J25" i="76"/>
  <c r="H26" i="66"/>
  <c r="H25" i="66"/>
  <c r="H28" i="66" s="1"/>
  <c r="O327" i="76"/>
  <c r="AM327" i="76" s="1"/>
  <c r="BA302" i="76"/>
  <c r="AS132" i="76"/>
  <c r="AN327" i="76"/>
  <c r="AR36" i="76"/>
  <c r="AO195" i="76"/>
  <c r="AO340" i="76"/>
  <c r="AQ38" i="76"/>
  <c r="AR157" i="76"/>
  <c r="AN338" i="76"/>
  <c r="AM38" i="76"/>
  <c r="N141" i="76"/>
  <c r="V26" i="76"/>
  <c r="T25" i="76"/>
  <c r="M83" i="76"/>
  <c r="Q85" i="76"/>
  <c r="Q111" i="76"/>
  <c r="P164" i="76"/>
  <c r="V164" i="76"/>
  <c r="Y205" i="76"/>
  <c r="T205" i="76"/>
  <c r="V265" i="76"/>
  <c r="P265" i="76"/>
  <c r="V267" i="76"/>
  <c r="P267" i="76"/>
  <c r="U278" i="76"/>
  <c r="V278" i="76" s="1"/>
  <c r="H194" i="22"/>
  <c r="H328" i="22"/>
  <c r="G796" i="22"/>
  <c r="I796" i="22" s="1"/>
  <c r="G535" i="22"/>
  <c r="I535" i="22" s="1"/>
  <c r="G287" i="22"/>
  <c r="I287" i="22" s="1"/>
  <c r="G91" i="22"/>
  <c r="I91" i="22" s="1"/>
  <c r="V102" i="76"/>
  <c r="P102" i="76"/>
  <c r="AP102" i="76" s="1"/>
  <c r="U101" i="76"/>
  <c r="O236" i="76"/>
  <c r="AM236" i="76" s="1"/>
  <c r="N225" i="76"/>
  <c r="M224" i="76"/>
  <c r="O109" i="76"/>
  <c r="N108" i="76"/>
  <c r="F11" i="74"/>
  <c r="F24" i="74" s="1"/>
  <c r="F28" i="74" s="1"/>
  <c r="F15" i="74"/>
  <c r="F20" i="74" s="1"/>
  <c r="AQ226" i="76"/>
  <c r="AQ324" i="76"/>
  <c r="L9" i="74"/>
  <c r="M9" i="74" s="1"/>
  <c r="O9" i="74" s="1"/>
  <c r="N83" i="76"/>
  <c r="P143" i="76"/>
  <c r="V143" i="76"/>
  <c r="X143" i="76" s="1"/>
  <c r="T152" i="76"/>
  <c r="T141" i="76" s="1"/>
  <c r="Y152" i="76"/>
  <c r="Y141" i="76" s="1"/>
  <c r="V157" i="76"/>
  <c r="P157" i="76"/>
  <c r="L178" i="76"/>
  <c r="V218" i="76"/>
  <c r="T228" i="76"/>
  <c r="Y228" i="76"/>
  <c r="H52" i="22"/>
  <c r="O130" i="76"/>
  <c r="Q130" i="76" s="1"/>
  <c r="N278" i="76"/>
  <c r="M235" i="76"/>
  <c r="J234" i="76"/>
  <c r="O196" i="76"/>
  <c r="AM196" i="76" s="1"/>
  <c r="N34" i="76"/>
  <c r="N33" i="76" s="1"/>
  <c r="M33" i="76"/>
  <c r="F16" i="72"/>
  <c r="G12" i="72"/>
  <c r="G16" i="72" s="1"/>
  <c r="D12" i="78"/>
  <c r="D24" i="78"/>
  <c r="AO11" i="76"/>
  <c r="AL204" i="76"/>
  <c r="AO309" i="76"/>
  <c r="AN340" i="76"/>
  <c r="AO150" i="76"/>
  <c r="AN143" i="76"/>
  <c r="AK204" i="76"/>
  <c r="AF190" i="76"/>
  <c r="V204" i="76"/>
  <c r="V38" i="76"/>
  <c r="V333" i="76"/>
  <c r="S189" i="76"/>
  <c r="J72" i="76"/>
  <c r="M119" i="76"/>
  <c r="F140" i="76"/>
  <c r="Y202" i="76"/>
  <c r="S199" i="76"/>
  <c r="U244" i="76"/>
  <c r="AO244" i="76" s="1"/>
  <c r="Q299" i="76"/>
  <c r="V318" i="76"/>
  <c r="U323" i="76"/>
  <c r="AO323" i="76" s="1"/>
  <c r="H202" i="22"/>
  <c r="I202" i="22" s="1"/>
  <c r="H376" i="22"/>
  <c r="H465" i="22"/>
  <c r="F1357" i="45"/>
  <c r="N132" i="76"/>
  <c r="O252" i="76"/>
  <c r="Q252" i="76" s="1"/>
  <c r="O231" i="76"/>
  <c r="AM231" i="76" s="1"/>
  <c r="Q231" i="76"/>
  <c r="J169" i="76"/>
  <c r="O94" i="76"/>
  <c r="Q94" i="76" s="1"/>
  <c r="O67" i="76"/>
  <c r="AM67" i="76" s="1"/>
  <c r="P44" i="76"/>
  <c r="O30" i="76"/>
  <c r="AM30" i="76" s="1"/>
  <c r="N21" i="76"/>
  <c r="M19" i="76"/>
  <c r="D40" i="78"/>
  <c r="D44" i="78" s="1"/>
  <c r="D48" i="78" s="1"/>
  <c r="D27" i="78"/>
  <c r="D31" i="78" s="1"/>
  <c r="D35" i="78" s="1"/>
  <c r="F17" i="72"/>
  <c r="G13" i="72"/>
  <c r="G17" i="72" s="1"/>
  <c r="N244" i="76"/>
  <c r="AH132" i="76"/>
  <c r="AQ262" i="76"/>
  <c r="AN204" i="76"/>
  <c r="AR122" i="76"/>
  <c r="AK231" i="76"/>
  <c r="AF115" i="76"/>
  <c r="Q329" i="76"/>
  <c r="M7" i="74"/>
  <c r="V256" i="76"/>
  <c r="V308" i="76"/>
  <c r="I10" i="90"/>
  <c r="M53" i="76"/>
  <c r="M108" i="76"/>
  <c r="N119" i="76"/>
  <c r="L128" i="76"/>
  <c r="L169" i="76"/>
  <c r="H430" i="22"/>
  <c r="I430" i="22" s="1"/>
  <c r="G8" i="66"/>
  <c r="G14" i="66" s="1"/>
  <c r="G930" i="22"/>
  <c r="I930" i="22" s="1"/>
  <c r="G873" i="22"/>
  <c r="I873" i="22" s="1"/>
  <c r="G844" i="22"/>
  <c r="I844" i="22" s="1"/>
  <c r="G825" i="22"/>
  <c r="I825" i="22" s="1"/>
  <c r="G688" i="22"/>
  <c r="I688" i="22" s="1"/>
  <c r="G439" i="22"/>
  <c r="I439" i="22" s="1"/>
  <c r="G311" i="22"/>
  <c r="I311" i="22" s="1"/>
  <c r="G186" i="22"/>
  <c r="I186" i="22" s="1"/>
  <c r="G161" i="22"/>
  <c r="I161" i="22" s="1"/>
  <c r="G139" i="22"/>
  <c r="I139" i="22" s="1"/>
  <c r="G32" i="22"/>
  <c r="I32" i="22" s="1"/>
  <c r="G18" i="22"/>
  <c r="I18" i="22" s="1"/>
  <c r="G986" i="22"/>
  <c r="I986" i="22" s="1"/>
  <c r="G967" i="22"/>
  <c r="I967" i="22" s="1"/>
  <c r="G924" i="22"/>
  <c r="I924" i="22" s="1"/>
  <c r="I920" i="22" s="1"/>
  <c r="G798" i="22"/>
  <c r="I798" i="22" s="1"/>
  <c r="G734" i="22"/>
  <c r="I734" i="22" s="1"/>
  <c r="G722" i="22"/>
  <c r="I722" i="22" s="1"/>
  <c r="G728" i="22"/>
  <c r="I728" i="22" s="1"/>
  <c r="G709" i="22"/>
  <c r="I709" i="22" s="1"/>
  <c r="G675" i="22"/>
  <c r="I675" i="22" s="1"/>
  <c r="G616" i="22"/>
  <c r="I616" i="22" s="1"/>
  <c r="G584" i="22"/>
  <c r="I584" i="22" s="1"/>
  <c r="G517" i="22"/>
  <c r="I517" i="22" s="1"/>
  <c r="G471" i="22"/>
  <c r="I471" i="22" s="1"/>
  <c r="G389" i="22"/>
  <c r="I389" i="22" s="1"/>
  <c r="G369" i="22"/>
  <c r="I369" i="22" s="1"/>
  <c r="G355" i="22"/>
  <c r="I355" i="22" s="1"/>
  <c r="G222" i="22"/>
  <c r="I222" i="22" s="1"/>
  <c r="G998" i="22"/>
  <c r="I998" i="22" s="1"/>
  <c r="G912" i="22"/>
  <c r="I912" i="22" s="1"/>
  <c r="G854" i="22"/>
  <c r="I854" i="22" s="1"/>
  <c r="G831" i="22"/>
  <c r="I831" i="22" s="1"/>
  <c r="G632" i="22"/>
  <c r="I632" i="22" s="1"/>
  <c r="G577" i="22"/>
  <c r="I577" i="22" s="1"/>
  <c r="G405" i="22"/>
  <c r="I405" i="22" s="1"/>
  <c r="G289" i="22"/>
  <c r="I289" i="22" s="1"/>
  <c r="G234" i="22"/>
  <c r="I234" i="22" s="1"/>
  <c r="G201" i="22"/>
  <c r="I201" i="22" s="1"/>
  <c r="G111" i="22"/>
  <c r="I111" i="22" s="1"/>
  <c r="G102" i="22"/>
  <c r="I102" i="22" s="1"/>
  <c r="O247" i="76"/>
  <c r="Q247" i="76" s="1"/>
  <c r="O194" i="76"/>
  <c r="AM194" i="76" s="1"/>
  <c r="O114" i="76"/>
  <c r="AM114" i="76" s="1"/>
  <c r="N93" i="76"/>
  <c r="M92" i="76"/>
  <c r="M66" i="76"/>
  <c r="AR66" i="76" s="1"/>
  <c r="O256" i="76"/>
  <c r="AM256" i="76" s="1"/>
  <c r="AL231" i="76"/>
  <c r="AR244" i="76"/>
  <c r="AO191" i="76"/>
  <c r="AR340" i="76"/>
  <c r="AN120" i="76"/>
  <c r="AR59" i="76"/>
  <c r="AK116" i="76"/>
  <c r="AF152" i="76"/>
  <c r="AF78" i="76"/>
  <c r="Q144" i="76"/>
  <c r="I6" i="90"/>
  <c r="M43" i="76"/>
  <c r="N53" i="76"/>
  <c r="P165" i="76"/>
  <c r="V165" i="76"/>
  <c r="Q179" i="76"/>
  <c r="H578" i="22"/>
  <c r="D16" i="78"/>
  <c r="V11" i="76"/>
  <c r="X11" i="76" s="1"/>
  <c r="AP8" i="76" s="1"/>
  <c r="M331" i="76"/>
  <c r="J330" i="76"/>
  <c r="J250" i="76" s="1"/>
  <c r="O229" i="76"/>
  <c r="AM229" i="76" s="1"/>
  <c r="O193" i="76"/>
  <c r="AM193" i="76" s="1"/>
  <c r="H12" i="66"/>
  <c r="F4" i="64"/>
  <c r="C31" i="67"/>
  <c r="D25" i="91"/>
  <c r="D27" i="93"/>
  <c r="D18" i="91"/>
  <c r="J18" i="91" s="1"/>
  <c r="D20" i="93"/>
  <c r="E40" i="26"/>
  <c r="I40" i="26"/>
  <c r="AH73" i="76"/>
  <c r="AR85" i="76"/>
  <c r="AR73" i="76"/>
  <c r="AM179" i="76"/>
  <c r="AK152" i="76"/>
  <c r="V217" i="76"/>
  <c r="X217" i="76" s="1"/>
  <c r="AP217" i="76" s="1"/>
  <c r="V320" i="76"/>
  <c r="X320" i="76" s="1"/>
  <c r="AP320" i="76" s="1"/>
  <c r="T251" i="76"/>
  <c r="N161" i="76"/>
  <c r="Q161" i="76" s="1"/>
  <c r="P95" i="76"/>
  <c r="X95" i="76" s="1"/>
  <c r="T92" i="76"/>
  <c r="Q122" i="76"/>
  <c r="M165" i="76"/>
  <c r="AR165" i="76" s="1"/>
  <c r="N165" i="76"/>
  <c r="Q165" i="76" s="1"/>
  <c r="U302" i="76"/>
  <c r="AO302" i="76" s="1"/>
  <c r="Q321" i="76"/>
  <c r="H45" i="22"/>
  <c r="I45" i="22" s="1"/>
  <c r="H729" i="22"/>
  <c r="I729" i="22" s="1"/>
  <c r="I749" i="22" s="1"/>
  <c r="I759" i="22" s="1"/>
  <c r="D20" i="78"/>
  <c r="O257" i="76"/>
  <c r="Q257" i="76" s="1"/>
  <c r="M245" i="76"/>
  <c r="J243" i="76"/>
  <c r="O37" i="76"/>
  <c r="AM37" i="76" s="1"/>
  <c r="M141" i="76"/>
  <c r="I56" i="90"/>
  <c r="H8" i="76"/>
  <c r="I36" i="26"/>
  <c r="G17" i="82"/>
  <c r="I40" i="90"/>
  <c r="I19" i="90"/>
  <c r="K25" i="76"/>
  <c r="P181" i="76"/>
  <c r="O77" i="76"/>
  <c r="F6" i="64"/>
  <c r="F15" i="78"/>
  <c r="G15" i="82"/>
  <c r="I14" i="90"/>
  <c r="I11" i="90"/>
  <c r="L25" i="76"/>
  <c r="L43" i="76"/>
  <c r="F1049" i="45"/>
  <c r="O74" i="76"/>
  <c r="O29" i="76"/>
  <c r="F11" i="78"/>
  <c r="F12" i="80"/>
  <c r="G12" i="80" s="1"/>
  <c r="H12" i="80" s="1"/>
  <c r="E36" i="26"/>
  <c r="G24" i="63"/>
  <c r="V27" i="76"/>
  <c r="AO27" i="76"/>
  <c r="N158" i="76"/>
  <c r="Q158" i="76" s="1"/>
  <c r="AR158" i="76"/>
  <c r="V173" i="76"/>
  <c r="AO173" i="76"/>
  <c r="U169" i="76"/>
  <c r="V279" i="76"/>
  <c r="AO279" i="76"/>
  <c r="I11" i="74"/>
  <c r="V21" i="76"/>
  <c r="AO21" i="76"/>
  <c r="AR159" i="76"/>
  <c r="N159" i="76"/>
  <c r="Q159" i="76" s="1"/>
  <c r="AQ159" i="76" s="1"/>
  <c r="I80" i="22"/>
  <c r="I140" i="22"/>
  <c r="I179" i="22"/>
  <c r="G17" i="78"/>
  <c r="T19" i="76"/>
  <c r="Y19" i="76"/>
  <c r="Y25" i="76"/>
  <c r="L72" i="76"/>
  <c r="E140" i="76"/>
  <c r="M166" i="76"/>
  <c r="AR166" i="76" s="1"/>
  <c r="Y189" i="76"/>
  <c r="T202" i="76"/>
  <c r="AN202" i="76" s="1"/>
  <c r="Y214" i="76"/>
  <c r="P269" i="76"/>
  <c r="M318" i="76"/>
  <c r="N318" i="76" s="1"/>
  <c r="O318" i="76" s="1"/>
  <c r="P318" i="76" s="1"/>
  <c r="X318" i="76" s="1"/>
  <c r="H13" i="73"/>
  <c r="D12" i="74"/>
  <c r="L13" i="74" s="1"/>
  <c r="M13" i="74" s="1"/>
  <c r="O13" i="74" s="1"/>
  <c r="I334" i="22"/>
  <c r="I341" i="22"/>
  <c r="I407" i="22"/>
  <c r="I968" i="22"/>
  <c r="F261" i="45"/>
  <c r="F344" i="45"/>
  <c r="F802" i="45"/>
  <c r="F824" i="45" s="1"/>
  <c r="F834" i="45" s="1"/>
  <c r="F1382" i="45"/>
  <c r="O153" i="76"/>
  <c r="O149" i="76"/>
  <c r="O147" i="76"/>
  <c r="O142" i="76"/>
  <c r="P142" i="76" s="1"/>
  <c r="X142" i="76" s="1"/>
  <c r="AP142" i="76" s="1"/>
  <c r="O47" i="76"/>
  <c r="O35" i="76"/>
  <c r="P35" i="76" s="1"/>
  <c r="F16" i="78"/>
  <c r="H20" i="90"/>
  <c r="I20" i="90" s="1"/>
  <c r="D17" i="93"/>
  <c r="F6" i="107"/>
  <c r="H6" i="107" s="1"/>
  <c r="F7" i="101"/>
  <c r="I459" i="22"/>
  <c r="I483" i="22" s="1"/>
  <c r="I501" i="22" s="1"/>
  <c r="I839" i="22"/>
  <c r="F610" i="45"/>
  <c r="F764" i="45"/>
  <c r="F801" i="45" s="1"/>
  <c r="F823" i="45" s="1"/>
  <c r="F830" i="45" s="1"/>
  <c r="F777" i="45"/>
  <c r="F821" i="45" s="1"/>
  <c r="F832" i="45" s="1"/>
  <c r="F1423" i="45"/>
  <c r="F5" i="99"/>
  <c r="E18" i="99" s="1"/>
  <c r="F5" i="107"/>
  <c r="H5" i="107" s="1"/>
  <c r="F5" i="96"/>
  <c r="H5" i="96" s="1"/>
  <c r="F6" i="101"/>
  <c r="G37" i="26"/>
  <c r="G48" i="26"/>
  <c r="G39" i="26"/>
  <c r="E41" i="26"/>
  <c r="J41" i="26" s="1"/>
  <c r="K41" i="26" s="1"/>
  <c r="F752" i="45"/>
  <c r="F819" i="45" s="1"/>
  <c r="F829" i="45" s="1"/>
  <c r="F533" i="45"/>
  <c r="F1656" i="45"/>
  <c r="F570" i="45"/>
  <c r="F1013" i="45"/>
  <c r="F1204" i="45"/>
  <c r="F1247" i="45" s="1"/>
  <c r="F1257" i="45" s="1"/>
  <c r="F493" i="45"/>
  <c r="F1088" i="45"/>
  <c r="F1127" i="45"/>
  <c r="F1447" i="45"/>
  <c r="I987" i="22"/>
  <c r="I886" i="22"/>
  <c r="I723" i="22"/>
  <c r="I747" i="22" s="1"/>
  <c r="I764" i="22" s="1"/>
  <c r="I669" i="22"/>
  <c r="G39" i="22"/>
  <c r="I39" i="22" s="1"/>
  <c r="G103" i="22"/>
  <c r="I103" i="22" s="1"/>
  <c r="G112" i="22"/>
  <c r="G134" i="22"/>
  <c r="I134" i="22" s="1"/>
  <c r="G170" i="22"/>
  <c r="I170" i="22" s="1"/>
  <c r="G194" i="22"/>
  <c r="I194" i="22" s="1"/>
  <c r="G235" i="22"/>
  <c r="I235" i="22" s="1"/>
  <c r="G274" i="22"/>
  <c r="I274" i="22" s="1"/>
  <c r="G290" i="22"/>
  <c r="I290" i="22" s="1"/>
  <c r="G347" i="22"/>
  <c r="I347" i="22" s="1"/>
  <c r="G356" i="22"/>
  <c r="G363" i="22"/>
  <c r="I363" i="22" s="1"/>
  <c r="G406" i="22"/>
  <c r="G412" i="22"/>
  <c r="G418" i="22"/>
  <c r="I418" i="22" s="1"/>
  <c r="G487" i="22"/>
  <c r="G512" i="22"/>
  <c r="G531" i="22"/>
  <c r="G546" i="22"/>
  <c r="G578" i="22"/>
  <c r="G633" i="22"/>
  <c r="G647" i="22"/>
  <c r="I647" i="22" s="1"/>
  <c r="G655" i="22"/>
  <c r="G661" i="22"/>
  <c r="G676" i="22"/>
  <c r="I676" i="22" s="1"/>
  <c r="G682" i="22"/>
  <c r="I682" i="22" s="1"/>
  <c r="G695" i="22"/>
  <c r="I695" i="22" s="1"/>
  <c r="G751" i="22"/>
  <c r="G704" i="22"/>
  <c r="I704" i="22" s="1"/>
  <c r="I740" i="22" s="1"/>
  <c r="I755" i="22" s="1"/>
  <c r="G710" i="22"/>
  <c r="I710" i="22" s="1"/>
  <c r="I742" i="22" s="1"/>
  <c r="I757" i="22" s="1"/>
  <c r="G772" i="22"/>
  <c r="I772" i="22" s="1"/>
  <c r="G782" i="22"/>
  <c r="I782" i="22" s="1"/>
  <c r="G799" i="22"/>
  <c r="G845" i="22"/>
  <c r="I845" i="22" s="1"/>
  <c r="G862" i="22"/>
  <c r="I862" i="22" s="1"/>
  <c r="G892" i="22"/>
  <c r="I892" i="22" s="1"/>
  <c r="G913" i="22"/>
  <c r="I913" i="22" s="1"/>
  <c r="G931" i="22"/>
  <c r="I931" i="22" s="1"/>
  <c r="G949" i="22"/>
  <c r="G999" i="22"/>
  <c r="I999" i="22" s="1"/>
  <c r="I406" i="22"/>
  <c r="I993" i="22"/>
  <c r="I900" i="22"/>
  <c r="I518" i="22"/>
  <c r="I94" i="22"/>
  <c r="I600" i="22"/>
  <c r="I162" i="22"/>
  <c r="G43" i="90"/>
  <c r="G11" i="22"/>
  <c r="G27" i="22"/>
  <c r="G52" i="22"/>
  <c r="G86" i="22"/>
  <c r="I86" i="22" s="1"/>
  <c r="G118" i="22"/>
  <c r="G187" i="22"/>
  <c r="I187" i="22" s="1"/>
  <c r="G209" i="22"/>
  <c r="G223" i="22"/>
  <c r="I223" i="22" s="1"/>
  <c r="G280" i="22"/>
  <c r="I280" i="22" s="1"/>
  <c r="G297" i="22"/>
  <c r="G306" i="22"/>
  <c r="G318" i="22"/>
  <c r="I318" i="22" s="1"/>
  <c r="I328" i="22"/>
  <c r="G376" i="22"/>
  <c r="I376" i="22" s="1"/>
  <c r="G390" i="22"/>
  <c r="G489" i="22"/>
  <c r="G440" i="22"/>
  <c r="G446" i="22"/>
  <c r="I446" i="22" s="1"/>
  <c r="I480" i="22" s="1"/>
  <c r="I496" i="22" s="1"/>
  <c r="G452" i="22"/>
  <c r="G501" i="22"/>
  <c r="G465" i="22"/>
  <c r="G472" i="22"/>
  <c r="I472" i="22" s="1"/>
  <c r="I489" i="22" s="1"/>
  <c r="I505" i="22" s="1"/>
  <c r="G591" i="22"/>
  <c r="G617" i="22"/>
  <c r="I617" i="22" s="1"/>
  <c r="G740" i="22"/>
  <c r="G745" i="22"/>
  <c r="G759" i="22"/>
  <c r="G717" i="22"/>
  <c r="I717" i="22" s="1"/>
  <c r="I745" i="22" s="1"/>
  <c r="I762" i="22" s="1"/>
  <c r="G764" i="22"/>
  <c r="G766" i="22"/>
  <c r="G789" i="22"/>
  <c r="I789" i="22" s="1"/>
  <c r="G826" i="22"/>
  <c r="I826" i="22" s="1"/>
  <c r="G868" i="22"/>
  <c r="G880" i="22"/>
  <c r="I880" i="22" s="1"/>
  <c r="G937" i="22"/>
  <c r="I937" i="22" s="1"/>
  <c r="G962" i="22"/>
  <c r="I962" i="22" s="1"/>
  <c r="G974" i="22"/>
  <c r="G980" i="22"/>
  <c r="I980" i="22" s="1"/>
  <c r="F13" i="74"/>
  <c r="F26" i="74" s="1"/>
  <c r="F30" i="74" s="1"/>
  <c r="F13" i="78"/>
  <c r="G226" i="22"/>
  <c r="I226" i="22" s="1"/>
  <c r="G271" i="22"/>
  <c r="I271" i="22" s="1"/>
  <c r="G286" i="22"/>
  <c r="I286" i="22" s="1"/>
  <c r="I284" i="22" s="1"/>
  <c r="G293" i="22"/>
  <c r="I293" i="22" s="1"/>
  <c r="I291" i="22" s="1"/>
  <c r="G315" i="22"/>
  <c r="I315" i="22" s="1"/>
  <c r="G353" i="22"/>
  <c r="I353" i="22" s="1"/>
  <c r="G395" i="22"/>
  <c r="I395" i="22" s="1"/>
  <c r="I393" i="22" s="1"/>
  <c r="G403" i="22"/>
  <c r="I403" i="22" s="1"/>
  <c r="G421" i="22"/>
  <c r="I421" i="22" s="1"/>
  <c r="G437" i="22"/>
  <c r="I437" i="22" s="1"/>
  <c r="G549" i="22"/>
  <c r="I549" i="22" s="1"/>
  <c r="I547" i="22" s="1"/>
  <c r="G614" i="22"/>
  <c r="I614" i="22" s="1"/>
  <c r="G673" i="22"/>
  <c r="I673" i="22" s="1"/>
  <c r="G732" i="22"/>
  <c r="I732" i="22" s="1"/>
  <c r="I730" i="22" s="1"/>
  <c r="I750" i="22" s="1"/>
  <c r="I765" i="22" s="1"/>
  <c r="G795" i="22"/>
  <c r="I795" i="22" s="1"/>
  <c r="G916" i="22"/>
  <c r="I916" i="22" s="1"/>
  <c r="G990" i="22"/>
  <c r="I990" i="22" s="1"/>
  <c r="I988" i="22" s="1"/>
  <c r="G41" i="90"/>
  <c r="G16" i="22"/>
  <c r="I16" i="22" s="1"/>
  <c r="I13" i="22" s="1"/>
  <c r="G42" i="22"/>
  <c r="I42" i="22" s="1"/>
  <c r="G137" i="22"/>
  <c r="I137" i="22" s="1"/>
  <c r="G150" i="22"/>
  <c r="I150" i="22" s="1"/>
  <c r="G220" i="22"/>
  <c r="I220" i="22" s="1"/>
  <c r="I218" i="22" s="1"/>
  <c r="G309" i="22"/>
  <c r="I309" i="22" s="1"/>
  <c r="G360" i="22"/>
  <c r="I360" i="22" s="1"/>
  <c r="I358" i="22" s="1"/>
  <c r="G387" i="22"/>
  <c r="I387" i="22" s="1"/>
  <c r="G443" i="22"/>
  <c r="I443" i="22" s="1"/>
  <c r="I441" i="22" s="1"/>
  <c r="I479" i="22" s="1"/>
  <c r="I495" i="22" s="1"/>
  <c r="G456" i="22"/>
  <c r="I456" i="22" s="1"/>
  <c r="G462" i="22"/>
  <c r="I462" i="22" s="1"/>
  <c r="G534" i="22"/>
  <c r="I534" i="22" s="1"/>
  <c r="G543" i="22"/>
  <c r="I543" i="22" s="1"/>
  <c r="I541" i="22" s="1"/>
  <c r="G556" i="22"/>
  <c r="I556" i="22" s="1"/>
  <c r="G606" i="22"/>
  <c r="I606" i="22" s="1"/>
  <c r="G638" i="22"/>
  <c r="I638" i="22" s="1"/>
  <c r="I635" i="22" s="1"/>
  <c r="G652" i="22"/>
  <c r="I652" i="22" s="1"/>
  <c r="I650" i="22" s="1"/>
  <c r="G666" i="22"/>
  <c r="I666" i="22" s="1"/>
  <c r="G679" i="22"/>
  <c r="I679" i="22" s="1"/>
  <c r="I677" i="22" s="1"/>
  <c r="G701" i="22"/>
  <c r="I701" i="22" s="1"/>
  <c r="I699" i="22" s="1"/>
  <c r="I739" i="22" s="1"/>
  <c r="I754" i="22" s="1"/>
  <c r="G726" i="22"/>
  <c r="I726" i="22" s="1"/>
  <c r="I724" i="22" s="1"/>
  <c r="I748" i="22" s="1"/>
  <c r="I758" i="22" s="1"/>
  <c r="G810" i="22"/>
  <c r="I810" i="22" s="1"/>
  <c r="I808" i="22" s="1"/>
  <c r="G852" i="22"/>
  <c r="I852" i="22" s="1"/>
  <c r="G883" i="22"/>
  <c r="I883" i="22" s="1"/>
  <c r="I881" i="22" s="1"/>
  <c r="G897" i="22"/>
  <c r="I897" i="22" s="1"/>
  <c r="I895" i="22" s="1"/>
  <c r="G910" i="22"/>
  <c r="I910" i="22" s="1"/>
  <c r="G965" i="22"/>
  <c r="I965" i="22" s="1"/>
  <c r="G984" i="22"/>
  <c r="I984" i="22" s="1"/>
  <c r="G24" i="22"/>
  <c r="I24" i="22" s="1"/>
  <c r="I22" i="22" s="1"/>
  <c r="G109" i="22"/>
  <c r="I109" i="22" s="1"/>
  <c r="G338" i="22"/>
  <c r="I338" i="22" s="1"/>
  <c r="I336" i="22" s="1"/>
  <c r="G367" i="22"/>
  <c r="I367" i="22" s="1"/>
  <c r="I365" i="22" s="1"/>
  <c r="I401" i="22"/>
  <c r="G644" i="22"/>
  <c r="I644" i="22" s="1"/>
  <c r="G714" i="22"/>
  <c r="I714" i="22" s="1"/>
  <c r="G778" i="22"/>
  <c r="I778" i="22" s="1"/>
  <c r="G802" i="22"/>
  <c r="I802" i="22" s="1"/>
  <c r="I800" i="22" s="1"/>
  <c r="G971" i="22"/>
  <c r="I971" i="22" s="1"/>
  <c r="G9" i="66"/>
  <c r="G15" i="66" s="1"/>
  <c r="G21" i="66" s="1"/>
  <c r="G8" i="22"/>
  <c r="I8" i="22" s="1"/>
  <c r="G36" i="22"/>
  <c r="I36" i="22" s="1"/>
  <c r="I34" i="22" s="1"/>
  <c r="G49" i="22"/>
  <c r="I49" i="22" s="1"/>
  <c r="G77" i="22"/>
  <c r="I77" i="22" s="1"/>
  <c r="I75" i="22" s="1"/>
  <c r="G83" i="22"/>
  <c r="I83" i="22" s="1"/>
  <c r="I81" i="22" s="1"/>
  <c r="G121" i="22"/>
  <c r="I121" i="22" s="1"/>
  <c r="G131" i="22"/>
  <c r="I131" i="22" s="1"/>
  <c r="G144" i="22"/>
  <c r="I144" i="22" s="1"/>
  <c r="G167" i="22"/>
  <c r="I167" i="22" s="1"/>
  <c r="I164" i="22" s="1"/>
  <c r="I163" i="22" s="1"/>
  <c r="G184" i="22"/>
  <c r="I184" i="22" s="1"/>
  <c r="I181" i="22" s="1"/>
  <c r="G199" i="22"/>
  <c r="I199" i="22" s="1"/>
  <c r="G212" i="22"/>
  <c r="I212" i="22" s="1"/>
  <c r="I210" i="22" s="1"/>
  <c r="G303" i="22"/>
  <c r="I303" i="22" s="1"/>
  <c r="G331" i="22"/>
  <c r="I331" i="22" s="1"/>
  <c r="I329" i="22" s="1"/>
  <c r="G373" i="22"/>
  <c r="I373" i="22" s="1"/>
  <c r="G381" i="22"/>
  <c r="I381" i="22" s="1"/>
  <c r="I379" i="22" s="1"/>
  <c r="G449" i="22"/>
  <c r="I449" i="22" s="1"/>
  <c r="I447" i="22" s="1"/>
  <c r="I466" i="22" s="1"/>
  <c r="I486" i="22" s="1"/>
  <c r="I497" i="22" s="1"/>
  <c r="G469" i="22"/>
  <c r="I469" i="22" s="1"/>
  <c r="I467" i="22" s="1"/>
  <c r="I488" i="22" s="1"/>
  <c r="I504" i="22" s="1"/>
  <c r="G509" i="22"/>
  <c r="I509" i="22" s="1"/>
  <c r="G515" i="22"/>
  <c r="I515" i="22" s="1"/>
  <c r="G527" i="22"/>
  <c r="I527" i="22" s="1"/>
  <c r="G569" i="22"/>
  <c r="I569" i="22" s="1"/>
  <c r="I567" i="22" s="1"/>
  <c r="I565" i="22" s="1"/>
  <c r="G575" i="22"/>
  <c r="I575" i="22" s="1"/>
  <c r="G588" i="22"/>
  <c r="I588" i="22" s="1"/>
  <c r="G630" i="22"/>
  <c r="I630" i="22" s="1"/>
  <c r="G658" i="22"/>
  <c r="I658" i="22" s="1"/>
  <c r="I656" i="22" s="1"/>
  <c r="G686" i="22"/>
  <c r="I686" i="22" s="1"/>
  <c r="I684" i="22" s="1"/>
  <c r="G692" i="22"/>
  <c r="I692" i="22" s="1"/>
  <c r="G707" i="22"/>
  <c r="I707" i="22" s="1"/>
  <c r="G769" i="22"/>
  <c r="I769" i="22" s="1"/>
  <c r="I767" i="22" s="1"/>
  <c r="G823" i="22"/>
  <c r="I823" i="22" s="1"/>
  <c r="G829" i="22"/>
  <c r="I829" i="22" s="1"/>
  <c r="I827" i="22" s="1"/>
  <c r="G842" i="22"/>
  <c r="I842" i="22" s="1"/>
  <c r="I840" i="22" s="1"/>
  <c r="I857" i="22"/>
  <c r="G865" i="22"/>
  <c r="I865" i="22" s="1"/>
  <c r="I863" i="22" s="1"/>
  <c r="G871" i="22"/>
  <c r="I871" i="22" s="1"/>
  <c r="G877" i="22"/>
  <c r="I877" i="22" s="1"/>
  <c r="I875" i="22" s="1"/>
  <c r="G889" i="22"/>
  <c r="I889" i="22" s="1"/>
  <c r="I887" i="22" s="1"/>
  <c r="G904" i="22"/>
  <c r="I904" i="22" s="1"/>
  <c r="G928" i="22"/>
  <c r="I928" i="22" s="1"/>
  <c r="G934" i="22"/>
  <c r="I934" i="22" s="1"/>
  <c r="I938" i="22"/>
  <c r="G946" i="22"/>
  <c r="I946" i="22" s="1"/>
  <c r="G959" i="22"/>
  <c r="I959" i="22" s="1"/>
  <c r="F7" i="107"/>
  <c r="H7" i="107" s="1"/>
  <c r="F8" i="101"/>
  <c r="F1102" i="45"/>
  <c r="F1101" i="45" s="1"/>
  <c r="F1326" i="45"/>
  <c r="F878" i="45"/>
  <c r="F904" i="45"/>
  <c r="F1001" i="45"/>
  <c r="F1025" i="45"/>
  <c r="F1179" i="45"/>
  <c r="F1244" i="45" s="1"/>
  <c r="F1253" i="45" s="1"/>
  <c r="F676" i="45"/>
  <c r="F585" i="45"/>
  <c r="F724" i="45"/>
  <c r="F1370" i="45"/>
  <c r="F558" i="45"/>
  <c r="F836" i="45"/>
  <c r="F1037" i="45"/>
  <c r="F1286" i="45"/>
  <c r="F1668" i="45"/>
  <c r="F8" i="107"/>
  <c r="H8" i="107" s="1"/>
  <c r="F9" i="101"/>
  <c r="F9" i="107"/>
  <c r="H9" i="107" s="1"/>
  <c r="F10" i="101"/>
  <c r="F10" i="107"/>
  <c r="H10" i="107" s="1"/>
  <c r="F10" i="96"/>
  <c r="F11" i="101"/>
  <c r="F10" i="79"/>
  <c r="F10" i="21"/>
  <c r="F10" i="91"/>
  <c r="F317" i="45"/>
  <c r="F866" i="45"/>
  <c r="F864" i="45" s="1"/>
  <c r="F1152" i="45"/>
  <c r="F1570" i="45"/>
  <c r="F1485" i="45"/>
  <c r="F517" i="45"/>
  <c r="F1398" i="45"/>
  <c r="F1471" i="45"/>
  <c r="F1595" i="45"/>
  <c r="F11" i="79"/>
  <c r="F9" i="91"/>
  <c r="F11" i="75"/>
  <c r="F10" i="75"/>
  <c r="F7" i="79"/>
  <c r="F7" i="91"/>
  <c r="F9" i="79"/>
  <c r="F9" i="75"/>
  <c r="F7" i="75"/>
  <c r="F5" i="79"/>
  <c r="F5" i="75"/>
  <c r="M11" i="74"/>
  <c r="I671" i="22"/>
  <c r="I6" i="22"/>
  <c r="E51" i="26"/>
  <c r="I6" i="58"/>
  <c r="I5" i="58"/>
  <c r="B25" i="81"/>
  <c r="B26" i="81"/>
  <c r="A25" i="81"/>
  <c r="A26" i="81"/>
  <c r="G120" i="63"/>
  <c r="G128" i="63" s="1"/>
  <c r="D114" i="63"/>
  <c r="I112" i="63"/>
  <c r="I106" i="63"/>
  <c r="G114" i="63"/>
  <c r="G119" i="63"/>
  <c r="I111" i="63"/>
  <c r="I109" i="63"/>
  <c r="G117" i="63"/>
  <c r="I117" i="63" s="1"/>
  <c r="I9" i="58"/>
  <c r="G7" i="82"/>
  <c r="I7" i="82" s="1"/>
  <c r="K7" i="82" s="1"/>
  <c r="I5" i="82"/>
  <c r="K5" i="82" s="1"/>
  <c r="F662" i="45"/>
  <c r="F660" i="45" s="1"/>
  <c r="F688" i="45"/>
  <c r="F1140" i="45"/>
  <c r="F1301" i="45"/>
  <c r="F917" i="45"/>
  <c r="F1076" i="45"/>
  <c r="F1075" i="45" s="1"/>
  <c r="F1459" i="45"/>
  <c r="F648" i="45"/>
  <c r="F712" i="45"/>
  <c r="F936" i="45"/>
  <c r="F935" i="45" s="1"/>
  <c r="F1115" i="45"/>
  <c r="F1114" i="45" s="1"/>
  <c r="F1192" i="45"/>
  <c r="F1619" i="45"/>
  <c r="F1313" i="45"/>
  <c r="F961" i="45"/>
  <c r="F1411" i="45"/>
  <c r="F740" i="45"/>
  <c r="F818" i="45" s="1"/>
  <c r="F828" i="45" s="1"/>
  <c r="F948" i="45"/>
  <c r="F1259" i="45"/>
  <c r="F700" i="45"/>
  <c r="F1546" i="45"/>
  <c r="F1643" i="45"/>
  <c r="F1607" i="45"/>
  <c r="F973" i="45"/>
  <c r="F1345" i="45"/>
  <c r="F1344" i="45" s="1"/>
  <c r="F1582" i="45"/>
  <c r="F636" i="45"/>
  <c r="F545" i="45"/>
  <c r="F892" i="45"/>
  <c r="F597" i="45"/>
  <c r="F622" i="45"/>
  <c r="F988" i="45"/>
  <c r="F1510" i="45"/>
  <c r="F1274" i="45"/>
  <c r="F1272" i="45" s="1"/>
  <c r="F1534" i="45"/>
  <c r="F1062" i="45"/>
  <c r="F1498" i="45"/>
  <c r="F1631" i="45"/>
  <c r="F1167" i="45"/>
  <c r="F1243" i="45" s="1"/>
  <c r="F1252" i="45" s="1"/>
  <c r="F1680" i="45"/>
  <c r="F848" i="45"/>
  <c r="F6" i="45"/>
  <c r="F789" i="45"/>
  <c r="F822" i="45" s="1"/>
  <c r="F833" i="45" s="1"/>
  <c r="F1435" i="45"/>
  <c r="F1558" i="45"/>
  <c r="F1228" i="45"/>
  <c r="F1249" i="45" s="1"/>
  <c r="F1258" i="45" s="1"/>
  <c r="F221" i="45"/>
  <c r="F81" i="45"/>
  <c r="F154" i="45"/>
  <c r="F209" i="45"/>
  <c r="F18" i="45"/>
  <c r="F127" i="45"/>
  <c r="F8" i="21"/>
  <c r="I460" i="22"/>
  <c r="I484" i="22" s="1"/>
  <c r="I502" i="22" s="1"/>
  <c r="I525" i="22"/>
  <c r="I523" i="22" s="1"/>
  <c r="I371" i="22"/>
  <c r="G11" i="63"/>
  <c r="G24" i="97"/>
  <c r="I224" i="22"/>
  <c r="I342" i="22"/>
  <c r="I113" i="22"/>
  <c r="I603" i="22"/>
  <c r="I604" i="22" s="1"/>
  <c r="I301" i="22"/>
  <c r="I619" i="22"/>
  <c r="I618" i="22" s="1"/>
  <c r="V235" i="76"/>
  <c r="U83" i="76"/>
  <c r="V85" i="76"/>
  <c r="F181" i="45"/>
  <c r="X181" i="76"/>
  <c r="AP181" i="76" s="1"/>
  <c r="P338" i="76"/>
  <c r="V338" i="76"/>
  <c r="G40" i="78"/>
  <c r="G44" i="78" s="1"/>
  <c r="G48" i="78" s="1"/>
  <c r="G23" i="78"/>
  <c r="G27" i="78" s="1"/>
  <c r="G31" i="78" s="1"/>
  <c r="G35" i="78" s="1"/>
  <c r="V35" i="76"/>
  <c r="AO39" i="76"/>
  <c r="AO48" i="76"/>
  <c r="V48" i="76"/>
  <c r="N261" i="76"/>
  <c r="Q269" i="76"/>
  <c r="P322" i="76"/>
  <c r="V322" i="76"/>
  <c r="F68" i="45"/>
  <c r="G11" i="78"/>
  <c r="F661" i="45"/>
  <c r="M10" i="76"/>
  <c r="X167" i="76"/>
  <c r="AP167" i="76" s="1"/>
  <c r="V59" i="76"/>
  <c r="T53" i="76"/>
  <c r="Y92" i="76"/>
  <c r="M261" i="76"/>
  <c r="H512" i="22"/>
  <c r="I512" i="22" s="1"/>
  <c r="F140" i="45"/>
  <c r="F207" i="45"/>
  <c r="D23" i="91"/>
  <c r="D25" i="93"/>
  <c r="V30" i="76"/>
  <c r="V57" i="76"/>
  <c r="V14" i="76"/>
  <c r="X14" i="76" s="1"/>
  <c r="AP14" i="76" s="1"/>
  <c r="U19" i="76"/>
  <c r="Y33" i="76"/>
  <c r="Y116" i="76"/>
  <c r="Y243" i="76"/>
  <c r="I307" i="22"/>
  <c r="H412" i="22"/>
  <c r="I957" i="22"/>
  <c r="V207" i="76"/>
  <c r="V39" i="76"/>
  <c r="P85" i="76"/>
  <c r="T111" i="76"/>
  <c r="AN111" i="76" s="1"/>
  <c r="H633" i="22"/>
  <c r="F44" i="45"/>
  <c r="F25" i="67"/>
  <c r="F27" i="67" s="1"/>
  <c r="F478" i="45"/>
  <c r="O145" i="76"/>
  <c r="S11" i="80"/>
  <c r="S10" i="80" s="1"/>
  <c r="H44" i="90"/>
  <c r="I44" i="90" s="1"/>
  <c r="D8" i="68"/>
  <c r="C8" i="68" s="1"/>
  <c r="I51" i="85"/>
  <c r="H8" i="90"/>
  <c r="I8" i="90" s="1"/>
  <c r="I71" i="63"/>
  <c r="I159" i="63"/>
  <c r="O58" i="76"/>
  <c r="H43" i="90"/>
  <c r="I64" i="63"/>
  <c r="I56" i="63"/>
  <c r="I135" i="63"/>
  <c r="J13" i="84"/>
  <c r="I152" i="63"/>
  <c r="I85" i="63"/>
  <c r="I172" i="63"/>
  <c r="X309" i="76"/>
  <c r="AP309" i="76" s="1"/>
  <c r="BA159" i="76"/>
  <c r="F234" i="45"/>
  <c r="F394" i="45"/>
  <c r="Y53" i="76"/>
  <c r="U109" i="76"/>
  <c r="P109" i="76" s="1"/>
  <c r="T114" i="76"/>
  <c r="U114" i="76" s="1"/>
  <c r="AO114" i="76" s="1"/>
  <c r="V156" i="76"/>
  <c r="X156" i="76" s="1"/>
  <c r="AP156" i="76" s="1"/>
  <c r="P221" i="76"/>
  <c r="T227" i="76"/>
  <c r="P256" i="76"/>
  <c r="V266" i="76"/>
  <c r="X266" i="76" s="1"/>
  <c r="AP266" i="76" s="1"/>
  <c r="L337" i="76"/>
  <c r="I97" i="22"/>
  <c r="I119" i="22"/>
  <c r="H312" i="22"/>
  <c r="I312" i="22" s="1"/>
  <c r="I323" i="22"/>
  <c r="H384" i="22"/>
  <c r="I384" i="22" s="1"/>
  <c r="H531" i="22"/>
  <c r="H546" i="22"/>
  <c r="H559" i="22"/>
  <c r="I559" i="22" s="1"/>
  <c r="H591" i="22"/>
  <c r="H609" i="22"/>
  <c r="I609" i="22" s="1"/>
  <c r="H625" i="22"/>
  <c r="I625" i="22" s="1"/>
  <c r="F32" i="45"/>
  <c r="F56" i="45"/>
  <c r="F115" i="45"/>
  <c r="F169" i="45"/>
  <c r="F193" i="45"/>
  <c r="F246" i="45"/>
  <c r="F274" i="45"/>
  <c r="F275" i="45" s="1"/>
  <c r="F289" i="45"/>
  <c r="F303" i="45"/>
  <c r="F302" i="45" s="1"/>
  <c r="F331" i="45"/>
  <c r="F356" i="45"/>
  <c r="F370" i="45"/>
  <c r="F382" i="45"/>
  <c r="F439" i="45"/>
  <c r="F451" i="45"/>
  <c r="F466" i="45"/>
  <c r="F465" i="45" s="1"/>
  <c r="F505" i="45"/>
  <c r="V13" i="76"/>
  <c r="X13" i="76" s="1"/>
  <c r="AP13" i="76" s="1"/>
  <c r="P122" i="76"/>
  <c r="V158" i="76"/>
  <c r="X158" i="76" s="1"/>
  <c r="AP158" i="76" s="1"/>
  <c r="Y204" i="76"/>
  <c r="T231" i="76"/>
  <c r="V268" i="76"/>
  <c r="X268" i="76" s="1"/>
  <c r="AP268" i="76" s="1"/>
  <c r="P299" i="76"/>
  <c r="G250" i="76"/>
  <c r="H297" i="22"/>
  <c r="H370" i="22"/>
  <c r="I370" i="22" s="1"/>
  <c r="K19" i="76"/>
  <c r="P130" i="76"/>
  <c r="X130" i="76" s="1"/>
  <c r="AP130" i="76" s="1"/>
  <c r="Y178" i="76"/>
  <c r="D24" i="74"/>
  <c r="M8" i="74"/>
  <c r="H356" i="22"/>
  <c r="I356" i="22" s="1"/>
  <c r="I385" i="22"/>
  <c r="H424" i="22"/>
  <c r="I424" i="22" s="1"/>
  <c r="I944" i="22"/>
  <c r="I969" i="22"/>
  <c r="Y43" i="76"/>
  <c r="P48" i="76"/>
  <c r="X48" i="76" s="1"/>
  <c r="AP48" i="76" s="1"/>
  <c r="Y109" i="76"/>
  <c r="Y113" i="76"/>
  <c r="Y169" i="76"/>
  <c r="T190" i="76"/>
  <c r="V190" i="76" s="1"/>
  <c r="H398" i="22"/>
  <c r="I398" i="22" s="1"/>
  <c r="P191" i="76"/>
  <c r="X191" i="76" s="1"/>
  <c r="AP191" i="76" s="1"/>
  <c r="O148" i="76"/>
  <c r="Q148" i="76" s="1"/>
  <c r="O152" i="76"/>
  <c r="O146" i="76"/>
  <c r="O55" i="76"/>
  <c r="P55" i="76" s="1"/>
  <c r="J5" i="84"/>
  <c r="M76" i="76"/>
  <c r="N76" i="76" s="1"/>
  <c r="N75" i="76"/>
  <c r="O54" i="76"/>
  <c r="D41" i="78"/>
  <c r="D45" i="78" s="1"/>
  <c r="D49" i="78" s="1"/>
  <c r="C30" i="67"/>
  <c r="F11" i="21"/>
  <c r="H11" i="21" s="1"/>
  <c r="F7" i="21"/>
  <c r="H7" i="21" s="1"/>
  <c r="G74" i="63"/>
  <c r="I74" i="63" s="1"/>
  <c r="G81" i="63"/>
  <c r="I81" i="63" s="1"/>
  <c r="F8" i="96"/>
  <c r="F6" i="96"/>
  <c r="H6" i="96" s="1"/>
  <c r="H13" i="77"/>
  <c r="H12" i="90"/>
  <c r="I12" i="90" s="1"/>
  <c r="G5" i="93"/>
  <c r="F22" i="93" s="1"/>
  <c r="G131" i="63"/>
  <c r="I131" i="63" s="1"/>
  <c r="G138" i="63"/>
  <c r="I138" i="63" s="1"/>
  <c r="G156" i="63"/>
  <c r="I156" i="63" s="1"/>
  <c r="G162" i="63"/>
  <c r="O57" i="76"/>
  <c r="H23" i="65"/>
  <c r="H24" i="65" s="1"/>
  <c r="H25" i="65" s="1"/>
  <c r="I25" i="65" s="1"/>
  <c r="H18" i="66"/>
  <c r="H21" i="66" s="1"/>
  <c r="I5" i="93"/>
  <c r="D29" i="91"/>
  <c r="G86" i="85"/>
  <c r="G69" i="85"/>
  <c r="G49" i="85"/>
  <c r="I49" i="85" s="1"/>
  <c r="G37" i="85"/>
  <c r="I37" i="85" s="1"/>
  <c r="G25" i="85"/>
  <c r="G15" i="85"/>
  <c r="I15" i="85" s="1"/>
  <c r="H5" i="84"/>
  <c r="G93" i="63"/>
  <c r="I93" i="63" s="1"/>
  <c r="G42" i="63"/>
  <c r="I42" i="63" s="1"/>
  <c r="G10" i="63"/>
  <c r="I10" i="63" s="1"/>
  <c r="G14" i="82"/>
  <c r="I14" i="82" s="1"/>
  <c r="K14" i="82" s="1"/>
  <c r="F9" i="21"/>
  <c r="F5" i="21"/>
  <c r="H5" i="21" s="1"/>
  <c r="G52" i="63"/>
  <c r="I52" i="63" s="1"/>
  <c r="F9" i="96"/>
  <c r="F7" i="96"/>
  <c r="G17" i="74"/>
  <c r="G22" i="74" s="1"/>
  <c r="G26" i="74"/>
  <c r="H11" i="107"/>
  <c r="G55" i="63"/>
  <c r="G63" i="63" s="1"/>
  <c r="G35" i="97"/>
  <c r="G19" i="108"/>
  <c r="I19" i="108" s="1"/>
  <c r="G24" i="102"/>
  <c r="G20" i="85"/>
  <c r="G26" i="85" s="1"/>
  <c r="G32" i="85" s="1"/>
  <c r="G38" i="85" s="1"/>
  <c r="G44" i="85" s="1"/>
  <c r="G50" i="85" s="1"/>
  <c r="G57" i="85" s="1"/>
  <c r="G64" i="85" s="1"/>
  <c r="G74" i="85" s="1"/>
  <c r="G81" i="85" s="1"/>
  <c r="G87" i="85" s="1"/>
  <c r="I88" i="22"/>
  <c r="I142" i="22"/>
  <c r="I157" i="22"/>
  <c r="I230" i="22"/>
  <c r="I413" i="22"/>
  <c r="I419" i="22"/>
  <c r="I573" i="22"/>
  <c r="I586" i="22"/>
  <c r="I932" i="22"/>
  <c r="I982" i="22"/>
  <c r="I25" i="102"/>
  <c r="M6" i="87"/>
  <c r="I65" i="85"/>
  <c r="I52" i="85"/>
  <c r="I45" i="85"/>
  <c r="I39" i="85"/>
  <c r="I27" i="85"/>
  <c r="I21" i="85"/>
  <c r="I17" i="85"/>
  <c r="K17" i="85" s="1"/>
  <c r="I9" i="104" s="1"/>
  <c r="M12" i="87"/>
  <c r="I10" i="85"/>
  <c r="I93" i="85"/>
  <c r="I31" i="85"/>
  <c r="I19" i="85"/>
  <c r="I7" i="85"/>
  <c r="I43" i="85"/>
  <c r="I34" i="97"/>
  <c r="I29" i="97"/>
  <c r="I20" i="97"/>
  <c r="H50" i="70" s="1"/>
  <c r="I18" i="97"/>
  <c r="I28" i="97"/>
  <c r="I17" i="97"/>
  <c r="G9" i="102"/>
  <c r="I9" i="102" s="1"/>
  <c r="G14" i="102"/>
  <c r="I23" i="102"/>
  <c r="I21" i="102"/>
  <c r="G15" i="102"/>
  <c r="I15" i="102" s="1"/>
  <c r="I8" i="102"/>
  <c r="I18" i="82"/>
  <c r="K18" i="82" s="1"/>
  <c r="I16" i="82"/>
  <c r="K16" i="82" s="1"/>
  <c r="I17" i="82"/>
  <c r="K17" i="82" s="1"/>
  <c r="I15" i="82"/>
  <c r="K15" i="82" s="1"/>
  <c r="I171" i="63"/>
  <c r="I134" i="63"/>
  <c r="I141" i="63"/>
  <c r="I102" i="63"/>
  <c r="I95" i="63"/>
  <c r="I91" i="63"/>
  <c r="I75" i="63"/>
  <c r="I78" i="63"/>
  <c r="I82" i="63"/>
  <c r="I68" i="63"/>
  <c r="I61" i="63"/>
  <c r="E70" i="63"/>
  <c r="E77" i="63" s="1"/>
  <c r="E84" i="63" s="1"/>
  <c r="E133" i="63" s="1"/>
  <c r="C70" i="63"/>
  <c r="C77" i="63" s="1"/>
  <c r="C84" i="63" s="1"/>
  <c r="C133" i="63" s="1"/>
  <c r="I48" i="63"/>
  <c r="I43" i="63"/>
  <c r="I98" i="63"/>
  <c r="BA157" i="76"/>
  <c r="AQ157" i="76"/>
  <c r="AQ13" i="76"/>
  <c r="G18" i="66"/>
  <c r="I12" i="66"/>
  <c r="K8" i="87"/>
  <c r="L8" i="87" s="1"/>
  <c r="M8" i="87" s="1"/>
  <c r="P58" i="76"/>
  <c r="V58" i="76"/>
  <c r="T76" i="76"/>
  <c r="Y76" i="76"/>
  <c r="N103" i="76"/>
  <c r="M101" i="76"/>
  <c r="U326" i="76"/>
  <c r="AO326" i="76" s="1"/>
  <c r="P148" i="76"/>
  <c r="N214" i="76"/>
  <c r="O206" i="76"/>
  <c r="Q206" i="76" s="1"/>
  <c r="AQ164" i="76"/>
  <c r="AO145" i="76"/>
  <c r="AN326" i="76"/>
  <c r="AR103" i="76"/>
  <c r="AR164" i="76"/>
  <c r="AM45" i="76"/>
  <c r="AM148" i="76"/>
  <c r="V92" i="76"/>
  <c r="E29" i="73"/>
  <c r="V148" i="76"/>
  <c r="N129" i="76"/>
  <c r="V216" i="76"/>
  <c r="S72" i="76"/>
  <c r="I9" i="90"/>
  <c r="G7" i="94" s="1"/>
  <c r="E9" i="76"/>
  <c r="F9" i="76"/>
  <c r="U65" i="76"/>
  <c r="P65" i="76" s="1"/>
  <c r="T63" i="76"/>
  <c r="T75" i="76"/>
  <c r="Y75" i="76"/>
  <c r="U125" i="76"/>
  <c r="P125" i="76" s="1"/>
  <c r="M178" i="76"/>
  <c r="P183" i="76"/>
  <c r="V183" i="76"/>
  <c r="U200" i="76"/>
  <c r="V200" i="76" s="1"/>
  <c r="T214" i="76"/>
  <c r="P219" i="76"/>
  <c r="U319" i="76"/>
  <c r="AO319" i="76" s="1"/>
  <c r="U325" i="76"/>
  <c r="P325" i="76" s="1"/>
  <c r="V331" i="76"/>
  <c r="P332" i="76"/>
  <c r="D30" i="75"/>
  <c r="G30" i="75"/>
  <c r="F22" i="69"/>
  <c r="G20" i="69"/>
  <c r="C26" i="77" s="1"/>
  <c r="P12" i="76"/>
  <c r="V12" i="76"/>
  <c r="U10" i="76"/>
  <c r="U66" i="76"/>
  <c r="AO66" i="76" s="1"/>
  <c r="Y225" i="76"/>
  <c r="S224" i="76"/>
  <c r="U298" i="76"/>
  <c r="V298" i="76" s="1"/>
  <c r="U339" i="76"/>
  <c r="AO339" i="76" s="1"/>
  <c r="N255" i="76"/>
  <c r="M251" i="76"/>
  <c r="O185" i="76"/>
  <c r="Q185" i="76" s="1"/>
  <c r="N178" i="76"/>
  <c r="AL115" i="76"/>
  <c r="AN220" i="76"/>
  <c r="AO12" i="76"/>
  <c r="AQ106" i="76"/>
  <c r="AO153" i="76"/>
  <c r="AO109" i="76"/>
  <c r="AN148" i="76"/>
  <c r="AF76" i="76"/>
  <c r="L11" i="87"/>
  <c r="M11" i="87" s="1"/>
  <c r="U189" i="76"/>
  <c r="V234" i="76"/>
  <c r="G28" i="66"/>
  <c r="M298" i="76"/>
  <c r="N298" i="76" s="1"/>
  <c r="U202" i="76"/>
  <c r="AO202" i="76" s="1"/>
  <c r="V147" i="76"/>
  <c r="P236" i="76"/>
  <c r="X236" i="76" s="1"/>
  <c r="U234" i="76"/>
  <c r="U36" i="76"/>
  <c r="AO36" i="76" s="1"/>
  <c r="T74" i="76"/>
  <c r="Y74" i="76"/>
  <c r="U111" i="76"/>
  <c r="AO111" i="76" s="1"/>
  <c r="Y119" i="76"/>
  <c r="U124" i="76"/>
  <c r="T119" i="76"/>
  <c r="P159" i="76"/>
  <c r="V159" i="76"/>
  <c r="M167" i="76"/>
  <c r="N167" i="76" s="1"/>
  <c r="Q167" i="76" s="1"/>
  <c r="J155" i="76"/>
  <c r="V182" i="76"/>
  <c r="T226" i="76"/>
  <c r="Y251" i="76"/>
  <c r="P253" i="76"/>
  <c r="V253" i="76"/>
  <c r="Y261" i="76"/>
  <c r="U300" i="76"/>
  <c r="P300" i="76" s="1"/>
  <c r="U324" i="76"/>
  <c r="AO324" i="76" s="1"/>
  <c r="H7" i="73"/>
  <c r="H5" i="73" s="1"/>
  <c r="F5" i="73"/>
  <c r="Q10" i="76"/>
  <c r="T115" i="76"/>
  <c r="T108" i="76" s="1"/>
  <c r="S108" i="76"/>
  <c r="Y115" i="76"/>
  <c r="U220" i="76"/>
  <c r="V220" i="76" s="1"/>
  <c r="F12" i="74"/>
  <c r="F25" i="74" s="1"/>
  <c r="F29" i="74" s="1"/>
  <c r="F16" i="74"/>
  <c r="F21" i="74" s="1"/>
  <c r="P340" i="76"/>
  <c r="Q340" i="76"/>
  <c r="Q215" i="76"/>
  <c r="Q191" i="76"/>
  <c r="F11" i="92"/>
  <c r="H27" i="90"/>
  <c r="I27" i="90" s="1"/>
  <c r="AR185" i="76"/>
  <c r="AR129" i="76"/>
  <c r="AO151" i="76"/>
  <c r="AO334" i="76"/>
  <c r="AR106" i="76"/>
  <c r="AO58" i="76"/>
  <c r="AK76" i="76"/>
  <c r="E43" i="26"/>
  <c r="J43" i="26" s="1"/>
  <c r="K43" i="26" s="1"/>
  <c r="P215" i="76"/>
  <c r="V195" i="76"/>
  <c r="X195" i="76" s="1"/>
  <c r="AP195" i="76" s="1"/>
  <c r="N308" i="76"/>
  <c r="V303" i="76"/>
  <c r="T225" i="76"/>
  <c r="V151" i="76"/>
  <c r="P38" i="76"/>
  <c r="U34" i="76"/>
  <c r="T33" i="76"/>
  <c r="Y73" i="76"/>
  <c r="T73" i="76"/>
  <c r="T78" i="76"/>
  <c r="Y78" i="76"/>
  <c r="V84" i="76"/>
  <c r="P84" i="76"/>
  <c r="Y83" i="76"/>
  <c r="U116" i="76"/>
  <c r="P116" i="76" s="1"/>
  <c r="U131" i="76"/>
  <c r="T203" i="76"/>
  <c r="Y203" i="76"/>
  <c r="L199" i="76"/>
  <c r="P230" i="76"/>
  <c r="X230" i="76" s="1"/>
  <c r="U246" i="76"/>
  <c r="T243" i="76"/>
  <c r="V259" i="76"/>
  <c r="P262" i="76"/>
  <c r="V262" i="76"/>
  <c r="U261" i="76"/>
  <c r="U321" i="76"/>
  <c r="P321" i="76" s="1"/>
  <c r="P327" i="76"/>
  <c r="V327" i="76"/>
  <c r="V328" i="76"/>
  <c r="H29" i="74"/>
  <c r="H12" i="74"/>
  <c r="V121" i="76"/>
  <c r="V55" i="76"/>
  <c r="P146" i="76"/>
  <c r="S141" i="76"/>
  <c r="V122" i="76"/>
  <c r="X122" i="76" s="1"/>
  <c r="AP122" i="76" s="1"/>
  <c r="U29" i="76"/>
  <c r="U25" i="76" s="1"/>
  <c r="P30" i="76"/>
  <c r="P54" i="76"/>
  <c r="Y63" i="76"/>
  <c r="T83" i="76"/>
  <c r="U112" i="76"/>
  <c r="U129" i="76"/>
  <c r="T128" i="76"/>
  <c r="N133" i="76"/>
  <c r="Q133" i="76" s="1"/>
  <c r="AQ133" i="76" s="1"/>
  <c r="P162" i="76"/>
  <c r="N162" i="76"/>
  <c r="N163" i="76"/>
  <c r="Q163" i="76" s="1"/>
  <c r="V170" i="76"/>
  <c r="F250" i="76"/>
  <c r="P304" i="76"/>
  <c r="X304" i="76" s="1"/>
  <c r="P333" i="76"/>
  <c r="P87" i="76"/>
  <c r="P121" i="76"/>
  <c r="G140" i="76"/>
  <c r="P153" i="76"/>
  <c r="Y112" i="76"/>
  <c r="P163" i="76"/>
  <c r="V163" i="76"/>
  <c r="K277" i="76"/>
  <c r="T277" i="76"/>
  <c r="I204" i="22"/>
  <c r="D15" i="74"/>
  <c r="G23" i="69"/>
  <c r="D27" i="79" s="1"/>
  <c r="G21" i="69"/>
  <c r="D25" i="79" s="1"/>
  <c r="G22" i="69"/>
  <c r="H48" i="78" s="1"/>
  <c r="H6" i="77"/>
  <c r="H5" i="77" s="1"/>
  <c r="F5" i="77"/>
  <c r="L5" i="77" s="1"/>
  <c r="M5" i="77" s="1"/>
  <c r="H19" i="66"/>
  <c r="M173" i="76"/>
  <c r="AR173" i="76" s="1"/>
  <c r="M200" i="76"/>
  <c r="N200" i="76" s="1"/>
  <c r="M171" i="76"/>
  <c r="AR171" i="76" s="1"/>
  <c r="M69" i="76"/>
  <c r="M172" i="76"/>
  <c r="AR172" i="76" s="1"/>
  <c r="M170" i="76"/>
  <c r="N170" i="76" s="1"/>
  <c r="O20" i="76"/>
  <c r="F24" i="78"/>
  <c r="F28" i="78" s="1"/>
  <c r="F32" i="78" s="1"/>
  <c r="F36" i="78" s="1"/>
  <c r="F12" i="78"/>
  <c r="H24" i="90"/>
  <c r="H25" i="90" s="1"/>
  <c r="I25" i="90" s="1"/>
  <c r="D18" i="93"/>
  <c r="D16" i="91"/>
  <c r="O23" i="76"/>
  <c r="H37" i="90"/>
  <c r="H38" i="90" s="1"/>
  <c r="I38" i="90" s="1"/>
  <c r="H49" i="90"/>
  <c r="O150" i="76"/>
  <c r="F25" i="78"/>
  <c r="F29" i="78" s="1"/>
  <c r="F33" i="78" s="1"/>
  <c r="F37" i="78" s="1"/>
  <c r="F21" i="78"/>
  <c r="F42" i="78" s="1"/>
  <c r="F46" i="78" s="1"/>
  <c r="F50" i="78" s="1"/>
  <c r="M11" i="80"/>
  <c r="L10" i="80"/>
  <c r="H15" i="90"/>
  <c r="H16" i="90" s="1"/>
  <c r="I16" i="90" s="1"/>
  <c r="H63" i="90"/>
  <c r="I63" i="90" s="1"/>
  <c r="D34" i="93"/>
  <c r="D32" i="91"/>
  <c r="I9" i="66"/>
  <c r="H54" i="90"/>
  <c r="I54" i="90" s="1"/>
  <c r="K54" i="90" s="1"/>
  <c r="H58" i="90"/>
  <c r="I58" i="90" s="1"/>
  <c r="N27" i="76"/>
  <c r="C32" i="67"/>
  <c r="I13" i="93"/>
  <c r="D21" i="91"/>
  <c r="D23" i="93"/>
  <c r="N28" i="76"/>
  <c r="F5" i="64"/>
  <c r="H32" i="90"/>
  <c r="I32" i="90" s="1"/>
  <c r="D32" i="81"/>
  <c r="I35" i="58" s="1"/>
  <c r="I33" i="58"/>
  <c r="N12" i="80"/>
  <c r="G21" i="108"/>
  <c r="I21" i="108" s="1"/>
  <c r="G14" i="108"/>
  <c r="I14" i="108" s="1"/>
  <c r="G9" i="108"/>
  <c r="I9" i="108" s="1"/>
  <c r="G9" i="97"/>
  <c r="G163" i="63"/>
  <c r="G54" i="63"/>
  <c r="G14" i="97"/>
  <c r="G19" i="97"/>
  <c r="G157" i="63"/>
  <c r="G83" i="63"/>
  <c r="G94" i="85"/>
  <c r="G46" i="85"/>
  <c r="G22" i="85"/>
  <c r="G16" i="85"/>
  <c r="G11" i="85"/>
  <c r="G90" i="63"/>
  <c r="G62" i="63"/>
  <c r="G44" i="63"/>
  <c r="I31" i="63"/>
  <c r="I23" i="63"/>
  <c r="I30" i="97"/>
  <c r="F11" i="80"/>
  <c r="F10" i="80" s="1"/>
  <c r="I19" i="102"/>
  <c r="I13" i="102"/>
  <c r="G10" i="102"/>
  <c r="I10" i="102" s="1"/>
  <c r="G16" i="102"/>
  <c r="G83" i="85"/>
  <c r="G70" i="85"/>
  <c r="G53" i="85"/>
  <c r="G40" i="85"/>
  <c r="G28" i="85"/>
  <c r="G146" i="63"/>
  <c r="G100" i="63"/>
  <c r="G108" i="63" s="1"/>
  <c r="G94" i="63"/>
  <c r="G28" i="63"/>
  <c r="G19" i="63"/>
  <c r="G7" i="63"/>
  <c r="I33" i="97"/>
  <c r="D33" i="81"/>
  <c r="I36" i="58" s="1"/>
  <c r="G132" i="63"/>
  <c r="G139" i="63"/>
  <c r="G20" i="102"/>
  <c r="G26" i="102"/>
  <c r="G33" i="85"/>
  <c r="D35" i="84"/>
  <c r="E28" i="88"/>
  <c r="G177" i="63"/>
  <c r="G69" i="63"/>
  <c r="G49" i="63"/>
  <c r="G39" i="63"/>
  <c r="I27" i="63"/>
  <c r="I18" i="63"/>
  <c r="S12" i="80"/>
  <c r="R12" i="80"/>
  <c r="G76" i="63"/>
  <c r="G22" i="108"/>
  <c r="G10" i="108"/>
  <c r="I10" i="108" s="1"/>
  <c r="K10" i="108" s="1"/>
  <c r="G15" i="108"/>
  <c r="I15" i="108" s="1"/>
  <c r="K15" i="108" s="1"/>
  <c r="I17" i="58"/>
  <c r="I176" i="63"/>
  <c r="G168" i="63"/>
  <c r="I168" i="63" s="1"/>
  <c r="F22" i="109"/>
  <c r="F24" i="109" s="1"/>
  <c r="I9" i="82"/>
  <c r="J9" i="82" s="1"/>
  <c r="J8" i="82" s="1"/>
  <c r="I6" i="82"/>
  <c r="J6" i="82" s="1"/>
  <c r="G7" i="108"/>
  <c r="I7" i="108" s="1"/>
  <c r="G18" i="108"/>
  <c r="I18" i="108" s="1"/>
  <c r="G12" i="108"/>
  <c r="I12" i="108" s="1"/>
  <c r="I54" i="26"/>
  <c r="J54" i="26" s="1"/>
  <c r="K54" i="26" s="1"/>
  <c r="I21" i="26"/>
  <c r="J21" i="26" s="1"/>
  <c r="K21" i="26" s="1"/>
  <c r="E15" i="26"/>
  <c r="J15" i="26" s="1"/>
  <c r="K15" i="26" s="1"/>
  <c r="I22" i="26"/>
  <c r="J22" i="26" s="1"/>
  <c r="K22" i="26" s="1"/>
  <c r="I25" i="85"/>
  <c r="D24" i="104"/>
  <c r="L36" i="58"/>
  <c r="D20" i="104"/>
  <c r="I6" i="66"/>
  <c r="D32" i="84"/>
  <c r="H7" i="66"/>
  <c r="D23" i="104"/>
  <c r="H8" i="66"/>
  <c r="B43" i="78"/>
  <c r="G22" i="88"/>
  <c r="C25" i="86"/>
  <c r="B8" i="81"/>
  <c r="B7" i="81"/>
  <c r="I32" i="63"/>
  <c r="I24" i="63"/>
  <c r="I12" i="63"/>
  <c r="I67" i="63"/>
  <c r="I60" i="63"/>
  <c r="I16" i="63"/>
  <c r="I15" i="63"/>
  <c r="I14" i="63"/>
  <c r="D17" i="104"/>
  <c r="D13" i="104" s="1"/>
  <c r="D5" i="104"/>
  <c r="I103" i="63"/>
  <c r="I89" i="63"/>
  <c r="D28" i="84"/>
  <c r="B39" i="78"/>
  <c r="B25" i="79"/>
  <c r="B26" i="77"/>
  <c r="AV5" i="76"/>
  <c r="D32" i="86"/>
  <c r="I169" i="63"/>
  <c r="I66" i="85"/>
  <c r="I63" i="85"/>
  <c r="B28" i="77"/>
  <c r="B26" i="79"/>
  <c r="I149" i="63"/>
  <c r="AI3" i="76"/>
  <c r="C27" i="84"/>
  <c r="C21" i="104"/>
  <c r="C32" i="84"/>
  <c r="C30" i="86"/>
  <c r="D28" i="86"/>
  <c r="D30" i="84"/>
  <c r="C31" i="84"/>
  <c r="C29" i="86"/>
  <c r="D19" i="104"/>
  <c r="D33" i="86"/>
  <c r="I150" i="63"/>
  <c r="J14" i="79"/>
  <c r="C16" i="77"/>
  <c r="H6" i="78"/>
  <c r="G21" i="88"/>
  <c r="D8" i="104"/>
  <c r="I6" i="85"/>
  <c r="D26" i="104"/>
  <c r="D25" i="104" s="1"/>
  <c r="L14" i="87"/>
  <c r="M14" i="87" s="1"/>
  <c r="K9" i="87"/>
  <c r="L9" i="87" s="1"/>
  <c r="M9" i="87" s="1"/>
  <c r="I8" i="82"/>
  <c r="J7" i="82"/>
  <c r="L7" i="87"/>
  <c r="M7" i="87" s="1"/>
  <c r="J20" i="82"/>
  <c r="L20" i="82" s="1"/>
  <c r="J15" i="82"/>
  <c r="L15" i="82" s="1"/>
  <c r="I12" i="26"/>
  <c r="J12" i="26" s="1"/>
  <c r="K12" i="26" s="1"/>
  <c r="I25" i="26"/>
  <c r="J25" i="26" s="1"/>
  <c r="K25" i="26" s="1"/>
  <c r="K61" i="26"/>
  <c r="K64" i="26"/>
  <c r="I48" i="26"/>
  <c r="J48" i="26" s="1"/>
  <c r="K48" i="26" s="1"/>
  <c r="E14" i="26"/>
  <c r="J14" i="26" s="1"/>
  <c r="K14" i="26" s="1"/>
  <c r="E47" i="26"/>
  <c r="J47" i="26" s="1"/>
  <c r="K47" i="26" s="1"/>
  <c r="I56" i="26"/>
  <c r="J56" i="26" s="1"/>
  <c r="I24" i="26"/>
  <c r="J24" i="26" s="1"/>
  <c r="K24" i="26" s="1"/>
  <c r="I11" i="26"/>
  <c r="J11" i="26" s="1"/>
  <c r="K11" i="26" s="1"/>
  <c r="I50" i="26"/>
  <c r="J50" i="26" s="1"/>
  <c r="K50" i="26" s="1"/>
  <c r="I18" i="26"/>
  <c r="J18" i="26" s="1"/>
  <c r="K18" i="26" s="1"/>
  <c r="I9" i="26"/>
  <c r="J9" i="26" s="1"/>
  <c r="K9" i="26" s="1"/>
  <c r="I8" i="26"/>
  <c r="J8" i="26" s="1"/>
  <c r="K8" i="26" s="1"/>
  <c r="K63" i="26"/>
  <c r="I53" i="26"/>
  <c r="J53" i="26" s="1"/>
  <c r="K53" i="26" s="1"/>
  <c r="E42" i="26"/>
  <c r="J42" i="26" s="1"/>
  <c r="K42" i="26" s="1"/>
  <c r="E45" i="26"/>
  <c r="J45" i="26" s="1"/>
  <c r="K45" i="26" s="1"/>
  <c r="I10" i="26"/>
  <c r="J10" i="26" s="1"/>
  <c r="K10" i="26" s="1"/>
  <c r="I37" i="26"/>
  <c r="J37" i="26" s="1"/>
  <c r="K37" i="26" s="1"/>
  <c r="I46" i="26"/>
  <c r="E46" i="26"/>
  <c r="I27" i="26"/>
  <c r="E27" i="26"/>
  <c r="I28" i="26"/>
  <c r="E28" i="26"/>
  <c r="I33" i="26"/>
  <c r="E33" i="26"/>
  <c r="E49" i="26"/>
  <c r="I52" i="26"/>
  <c r="E52" i="26"/>
  <c r="E55" i="26"/>
  <c r="J55" i="26" s="1"/>
  <c r="K55" i="26" s="1"/>
  <c r="E32" i="26"/>
  <c r="I32" i="26"/>
  <c r="E13" i="26"/>
  <c r="I13" i="26"/>
  <c r="J51" i="26"/>
  <c r="K51" i="26" s="1"/>
  <c r="I19" i="26"/>
  <c r="E30" i="26"/>
  <c r="J30" i="26" s="1"/>
  <c r="K30" i="26" s="1"/>
  <c r="K60" i="26"/>
  <c r="E17" i="26"/>
  <c r="J17" i="26" s="1"/>
  <c r="K17" i="26" s="1"/>
  <c r="E19" i="26"/>
  <c r="E20" i="26"/>
  <c r="J20" i="26" s="1"/>
  <c r="K20" i="26" s="1"/>
  <c r="E23" i="26"/>
  <c r="J23" i="26" s="1"/>
  <c r="K23" i="26" s="1"/>
  <c r="E31" i="26"/>
  <c r="J31" i="26" s="1"/>
  <c r="K31" i="26" s="1"/>
  <c r="K65" i="26"/>
  <c r="I38" i="26"/>
  <c r="E38" i="26"/>
  <c r="I39" i="26"/>
  <c r="E39" i="26"/>
  <c r="E26" i="26"/>
  <c r="J26" i="26" s="1"/>
  <c r="K26" i="26" s="1"/>
  <c r="J49" i="26" l="1"/>
  <c r="K49" i="26" s="1"/>
  <c r="H45" i="90"/>
  <c r="I45" i="90" s="1"/>
  <c r="V244" i="76"/>
  <c r="X164" i="76"/>
  <c r="AP164" i="76" s="1"/>
  <c r="I269" i="22"/>
  <c r="I642" i="22"/>
  <c r="I834" i="22"/>
  <c r="Q207" i="76"/>
  <c r="U43" i="76"/>
  <c r="V69" i="76"/>
  <c r="Q125" i="76"/>
  <c r="J9" i="76"/>
  <c r="I135" i="22"/>
  <c r="X270" i="76"/>
  <c r="AP270" i="76" s="1"/>
  <c r="I51" i="90"/>
  <c r="G20" i="94" s="1"/>
  <c r="I5" i="90"/>
  <c r="G6" i="94" s="1"/>
  <c r="I313" i="22"/>
  <c r="I412" i="22"/>
  <c r="I107" i="22"/>
  <c r="I718" i="22"/>
  <c r="I746" i="22" s="1"/>
  <c r="I763" i="22" s="1"/>
  <c r="I28" i="22"/>
  <c r="C33" i="65"/>
  <c r="D29" i="65" s="1"/>
  <c r="I554" i="22"/>
  <c r="I507" i="22"/>
  <c r="I173" i="22"/>
  <c r="I914" i="22"/>
  <c r="I821" i="22"/>
  <c r="I819" i="22" s="1"/>
  <c r="I869" i="22"/>
  <c r="BA124" i="76"/>
  <c r="AQ124" i="76"/>
  <c r="I174" i="22"/>
  <c r="I172" i="22"/>
  <c r="I8" i="66"/>
  <c r="I30" i="90"/>
  <c r="G14" i="94" s="1"/>
  <c r="G8" i="76"/>
  <c r="U110" i="76"/>
  <c r="P246" i="76"/>
  <c r="P123" i="76"/>
  <c r="F1246" i="45"/>
  <c r="F1256" i="45" s="1"/>
  <c r="J36" i="26"/>
  <c r="N19" i="76"/>
  <c r="E23" i="73"/>
  <c r="P303" i="76"/>
  <c r="BA228" i="76"/>
  <c r="AQ228" i="76"/>
  <c r="N131" i="76"/>
  <c r="O131" i="76" s="1"/>
  <c r="AM131" i="76" s="1"/>
  <c r="AR131" i="76"/>
  <c r="J16" i="82"/>
  <c r="L16" i="82" s="1"/>
  <c r="M16" i="82" s="1"/>
  <c r="N16" i="82" s="1"/>
  <c r="I11" i="108"/>
  <c r="J11" i="108" s="1"/>
  <c r="I49" i="90"/>
  <c r="O21" i="76"/>
  <c r="M5" i="93"/>
  <c r="N5" i="93" s="1"/>
  <c r="P258" i="76"/>
  <c r="V29" i="76"/>
  <c r="U53" i="76"/>
  <c r="X303" i="76"/>
  <c r="AP303" i="76" s="1"/>
  <c r="V194" i="76"/>
  <c r="I28" i="66"/>
  <c r="J28" i="66" s="1"/>
  <c r="P45" i="76"/>
  <c r="P302" i="76"/>
  <c r="N10" i="76"/>
  <c r="N337" i="76"/>
  <c r="O337" i="76" s="1"/>
  <c r="P337" i="76" s="1"/>
  <c r="X337" i="76" s="1"/>
  <c r="U113" i="76"/>
  <c r="AO113" i="76" s="1"/>
  <c r="I524" i="22"/>
  <c r="I633" i="22"/>
  <c r="P68" i="76"/>
  <c r="X68" i="76" s="1"/>
  <c r="V56" i="76"/>
  <c r="X56" i="76" s="1"/>
  <c r="AP56" i="76" s="1"/>
  <c r="G25" i="78"/>
  <c r="G29" i="78" s="1"/>
  <c r="G33" i="78" s="1"/>
  <c r="G37" i="78" s="1"/>
  <c r="I926" i="22"/>
  <c r="I712" i="22"/>
  <c r="I744" i="22" s="1"/>
  <c r="I761" i="22" s="1"/>
  <c r="I963" i="22"/>
  <c r="I850" i="22"/>
  <c r="I27" i="22"/>
  <c r="I661" i="22"/>
  <c r="I578" i="22"/>
  <c r="U277" i="76"/>
  <c r="P196" i="76"/>
  <c r="X196" i="76" s="1"/>
  <c r="AP196" i="76" s="1"/>
  <c r="Q36" i="76"/>
  <c r="J40" i="26"/>
  <c r="K40" i="26" s="1"/>
  <c r="Q256" i="76"/>
  <c r="I627" i="22"/>
  <c r="I626" i="22" s="1"/>
  <c r="I994" i="22"/>
  <c r="Q30" i="76"/>
  <c r="AQ30" i="76" s="1"/>
  <c r="Q236" i="76"/>
  <c r="V101" i="76"/>
  <c r="X267" i="76"/>
  <c r="AP267" i="76" s="1"/>
  <c r="H20" i="73"/>
  <c r="H30" i="73" s="1"/>
  <c r="E28" i="73"/>
  <c r="F28" i="73" s="1"/>
  <c r="Q323" i="76"/>
  <c r="I55" i="90"/>
  <c r="G21" i="94" s="1"/>
  <c r="X264" i="76"/>
  <c r="AP264" i="76" s="1"/>
  <c r="I42" i="90"/>
  <c r="I776" i="22"/>
  <c r="I775" i="22" s="1"/>
  <c r="I783" i="22"/>
  <c r="V67" i="76"/>
  <c r="V22" i="76"/>
  <c r="V19" i="76" s="1"/>
  <c r="AQ221" i="76"/>
  <c r="BA221" i="76"/>
  <c r="Q333" i="76"/>
  <c r="V341" i="76"/>
  <c r="Q300" i="76"/>
  <c r="Q253" i="76"/>
  <c r="V247" i="76"/>
  <c r="AQ183" i="76"/>
  <c r="BA183" i="76"/>
  <c r="AQ125" i="76"/>
  <c r="BA125" i="76"/>
  <c r="P334" i="76"/>
  <c r="X334" i="76" s="1"/>
  <c r="T199" i="76"/>
  <c r="E24" i="73"/>
  <c r="F24" i="73" s="1"/>
  <c r="V64" i="76"/>
  <c r="I452" i="22"/>
  <c r="I487" i="22" s="1"/>
  <c r="I498" i="22" s="1"/>
  <c r="I52" i="22"/>
  <c r="P194" i="76"/>
  <c r="X194" i="76" s="1"/>
  <c r="AP194" i="76" s="1"/>
  <c r="G41" i="78"/>
  <c r="G45" i="78" s="1"/>
  <c r="G49" i="78" s="1"/>
  <c r="Q59" i="76"/>
  <c r="Q184" i="76"/>
  <c r="I99" i="63"/>
  <c r="I7" i="66"/>
  <c r="P216" i="76"/>
  <c r="P120" i="76"/>
  <c r="V132" i="76"/>
  <c r="P182" i="76"/>
  <c r="P59" i="76"/>
  <c r="G115" i="63"/>
  <c r="I115" i="63" s="1"/>
  <c r="I902" i="22"/>
  <c r="I197" i="22"/>
  <c r="I47" i="22"/>
  <c r="I908" i="22"/>
  <c r="I664" i="22"/>
  <c r="I663" i="22" s="1"/>
  <c r="I454" i="22"/>
  <c r="I482" i="22" s="1"/>
  <c r="I500" i="22" s="1"/>
  <c r="I974" i="22"/>
  <c r="I868" i="22"/>
  <c r="I440" i="22"/>
  <c r="I478" i="22" s="1"/>
  <c r="I494" i="22" s="1"/>
  <c r="I11" i="22"/>
  <c r="G15" i="74"/>
  <c r="M15" i="74" s="1"/>
  <c r="P67" i="76"/>
  <c r="M128" i="76"/>
  <c r="V302" i="76"/>
  <c r="I580" i="22"/>
  <c r="I951" i="22"/>
  <c r="Q203" i="76"/>
  <c r="Q246" i="76"/>
  <c r="Q258" i="76"/>
  <c r="AQ258" i="76" s="1"/>
  <c r="Q334" i="76"/>
  <c r="BA334" i="76" s="1"/>
  <c r="Q68" i="76"/>
  <c r="Q303" i="76"/>
  <c r="BA319" i="76"/>
  <c r="V301" i="76"/>
  <c r="D7" i="68"/>
  <c r="C7" i="68" s="1"/>
  <c r="C5" i="69"/>
  <c r="D15" i="68"/>
  <c r="AQ217" i="76"/>
  <c r="BA217" i="76"/>
  <c r="C10" i="68"/>
  <c r="V258" i="76"/>
  <c r="AQ115" i="76"/>
  <c r="BA115" i="76"/>
  <c r="U77" i="76"/>
  <c r="AN77" i="76"/>
  <c r="G12" i="74"/>
  <c r="I12" i="74" s="1"/>
  <c r="I10" i="74" s="1"/>
  <c r="J10" i="74" s="1"/>
  <c r="I8" i="74"/>
  <c r="I6" i="74" s="1"/>
  <c r="J6" i="74" s="1"/>
  <c r="G28" i="74"/>
  <c r="M24" i="74"/>
  <c r="I24" i="74"/>
  <c r="AQ182" i="76"/>
  <c r="BA182" i="76"/>
  <c r="AQ207" i="76"/>
  <c r="BA207" i="76"/>
  <c r="BA254" i="76"/>
  <c r="AQ254" i="76"/>
  <c r="P254" i="76"/>
  <c r="AO254" i="76"/>
  <c r="X166" i="76"/>
  <c r="AP166" i="76" s="1"/>
  <c r="D24" i="79"/>
  <c r="C29" i="77"/>
  <c r="I6" i="108"/>
  <c r="J6" i="108" s="1"/>
  <c r="Y108" i="76"/>
  <c r="P131" i="76"/>
  <c r="V339" i="76"/>
  <c r="F865" i="45"/>
  <c r="E20" i="73"/>
  <c r="F20" i="73" s="1"/>
  <c r="E8" i="76"/>
  <c r="X302" i="76"/>
  <c r="AP302" i="76" s="1"/>
  <c r="I297" i="22"/>
  <c r="X207" i="76"/>
  <c r="AP207" i="76" s="1"/>
  <c r="P39" i="76"/>
  <c r="I705" i="22"/>
  <c r="I741" i="22" s="1"/>
  <c r="I756" i="22" s="1"/>
  <c r="I148" i="22"/>
  <c r="I41" i="90"/>
  <c r="I435" i="22"/>
  <c r="I477" i="22" s="1"/>
  <c r="I493" i="22" s="1"/>
  <c r="I351" i="22"/>
  <c r="I390" i="22"/>
  <c r="I306" i="22"/>
  <c r="I209" i="22"/>
  <c r="I799" i="22"/>
  <c r="P184" i="76"/>
  <c r="X184" i="76" s="1"/>
  <c r="AP184" i="76" s="1"/>
  <c r="Q194" i="76"/>
  <c r="Q67" i="76"/>
  <c r="BA67" i="76" s="1"/>
  <c r="X157" i="76"/>
  <c r="AP157" i="76" s="1"/>
  <c r="I532" i="22"/>
  <c r="Q190" i="76"/>
  <c r="AQ190" i="76" s="1"/>
  <c r="E25" i="73"/>
  <c r="E21" i="73"/>
  <c r="AM73" i="76"/>
  <c r="Q73" i="76"/>
  <c r="Q205" i="76"/>
  <c r="Q227" i="76"/>
  <c r="Q39" i="76"/>
  <c r="U201" i="76"/>
  <c r="P201" i="76" s="1"/>
  <c r="AN201" i="76"/>
  <c r="V120" i="76"/>
  <c r="Q95" i="76"/>
  <c r="Q123" i="76"/>
  <c r="O328" i="76"/>
  <c r="Q328" i="76" s="1"/>
  <c r="O341" i="76"/>
  <c r="Q341" i="76" s="1"/>
  <c r="AN229" i="76"/>
  <c r="U229" i="76"/>
  <c r="Q48" i="76"/>
  <c r="AM48" i="76"/>
  <c r="O64" i="76"/>
  <c r="Q64" i="76" s="1"/>
  <c r="O259" i="76"/>
  <c r="Q259" i="76" s="1"/>
  <c r="V332" i="76"/>
  <c r="X332" i="76" s="1"/>
  <c r="AP332" i="76" s="1"/>
  <c r="I513" i="22"/>
  <c r="Q44" i="76"/>
  <c r="AM44" i="76"/>
  <c r="Q78" i="76"/>
  <c r="AM78" i="76"/>
  <c r="N279" i="76"/>
  <c r="AR279" i="76"/>
  <c r="O180" i="76"/>
  <c r="Q180" i="76"/>
  <c r="BA203" i="76"/>
  <c r="AQ203" i="76"/>
  <c r="AQ246" i="76"/>
  <c r="BA246" i="76"/>
  <c r="AQ68" i="76"/>
  <c r="BA68" i="76"/>
  <c r="BA303" i="76"/>
  <c r="AQ303" i="76"/>
  <c r="K56" i="26"/>
  <c r="I47" i="90"/>
  <c r="G19" i="94" s="1"/>
  <c r="H20" i="66"/>
  <c r="P86" i="76"/>
  <c r="Y199" i="76"/>
  <c r="V109" i="76"/>
  <c r="E19" i="73"/>
  <c r="F19" i="73" s="1"/>
  <c r="Y224" i="76"/>
  <c r="P101" i="76"/>
  <c r="I620" i="22"/>
  <c r="M6" i="74"/>
  <c r="P46" i="76"/>
  <c r="X46" i="76" s="1"/>
  <c r="AP46" i="76" s="1"/>
  <c r="I40" i="22"/>
  <c r="I611" i="22"/>
  <c r="I612" i="22" s="1"/>
  <c r="I465" i="22"/>
  <c r="I485" i="22" s="1"/>
  <c r="I503" i="22" s="1"/>
  <c r="I118" i="22"/>
  <c r="I949" i="22"/>
  <c r="I655" i="22"/>
  <c r="I112" i="22"/>
  <c r="O34" i="76"/>
  <c r="P34" i="76" s="1"/>
  <c r="P301" i="76"/>
  <c r="Q114" i="76"/>
  <c r="AQ114" i="76" s="1"/>
  <c r="Q196" i="76"/>
  <c r="AQ196" i="76" s="1"/>
  <c r="M277" i="76"/>
  <c r="O119" i="76"/>
  <c r="Q131" i="76"/>
  <c r="BA131" i="76" s="1"/>
  <c r="Q204" i="76"/>
  <c r="AQ204" i="76" s="1"/>
  <c r="Q201" i="76"/>
  <c r="Q216" i="76"/>
  <c r="Q46" i="76"/>
  <c r="Q301" i="76"/>
  <c r="X160" i="76"/>
  <c r="AP160" i="76" s="1"/>
  <c r="Q86" i="76"/>
  <c r="Q116" i="76"/>
  <c r="Q126" i="76"/>
  <c r="O192" i="76"/>
  <c r="O189" i="76" s="1"/>
  <c r="V254" i="76"/>
  <c r="X254" i="76" s="1"/>
  <c r="V54" i="76"/>
  <c r="X54" i="76" s="1"/>
  <c r="AP54" i="76" s="1"/>
  <c r="AO54" i="76"/>
  <c r="P126" i="76"/>
  <c r="BA105" i="76"/>
  <c r="AQ105" i="76"/>
  <c r="AQ104" i="76"/>
  <c r="BA104" i="76"/>
  <c r="V219" i="76"/>
  <c r="V214" i="76" s="1"/>
  <c r="I182" i="22"/>
  <c r="I180" i="22"/>
  <c r="BA247" i="76"/>
  <c r="AQ247" i="76"/>
  <c r="BA179" i="76"/>
  <c r="AQ179" i="76"/>
  <c r="BA144" i="76"/>
  <c r="AQ144" i="76"/>
  <c r="BA252" i="76"/>
  <c r="AQ252" i="76"/>
  <c r="AQ184" i="76"/>
  <c r="BA184" i="76"/>
  <c r="BA130" i="76"/>
  <c r="AQ130" i="76"/>
  <c r="O225" i="76"/>
  <c r="Q225" i="76" s="1"/>
  <c r="N224" i="76"/>
  <c r="U251" i="76"/>
  <c r="AO252" i="76"/>
  <c r="BA204" i="76"/>
  <c r="G20" i="66"/>
  <c r="G26" i="66" s="1"/>
  <c r="I26" i="66" s="1"/>
  <c r="Q318" i="76"/>
  <c r="J140" i="76"/>
  <c r="J8" i="76" s="1"/>
  <c r="N245" i="76"/>
  <c r="AR245" i="76"/>
  <c r="BA161" i="76"/>
  <c r="AQ161" i="76"/>
  <c r="Q229" i="76"/>
  <c r="X165" i="76"/>
  <c r="AP165" i="76" s="1"/>
  <c r="AQ67" i="76"/>
  <c r="P252" i="76"/>
  <c r="AM252" i="76"/>
  <c r="AM130" i="76"/>
  <c r="BA236" i="76"/>
  <c r="AQ236" i="76"/>
  <c r="X265" i="76"/>
  <c r="AP265" i="76" s="1"/>
  <c r="P37" i="76"/>
  <c r="P204" i="76"/>
  <c r="F29" i="65"/>
  <c r="P323" i="76"/>
  <c r="BA257" i="76"/>
  <c r="AQ257" i="76"/>
  <c r="BA165" i="76"/>
  <c r="AQ165" i="76"/>
  <c r="AQ256" i="76"/>
  <c r="BA256" i="76"/>
  <c r="BA194" i="76"/>
  <c r="AQ194" i="76"/>
  <c r="O132" i="76"/>
  <c r="Q132" i="76" s="1"/>
  <c r="AQ299" i="76"/>
  <c r="BA299" i="76"/>
  <c r="U152" i="76"/>
  <c r="P152" i="76" s="1"/>
  <c r="AN152" i="76"/>
  <c r="U205" i="76"/>
  <c r="AN205" i="76"/>
  <c r="N339" i="76"/>
  <c r="AR339" i="76"/>
  <c r="P193" i="76"/>
  <c r="O108" i="76"/>
  <c r="V277" i="76"/>
  <c r="P257" i="76"/>
  <c r="X257" i="76" s="1"/>
  <c r="AP257" i="76" s="1"/>
  <c r="AM257" i="76"/>
  <c r="BA94" i="76"/>
  <c r="AQ94" i="76"/>
  <c r="I17" i="90"/>
  <c r="G9" i="94" s="1"/>
  <c r="AP11" i="76"/>
  <c r="Q77" i="76"/>
  <c r="AM77" i="76"/>
  <c r="C27" i="77"/>
  <c r="I165" i="22"/>
  <c r="P77" i="76"/>
  <c r="BA122" i="76"/>
  <c r="AQ122" i="76"/>
  <c r="N331" i="76"/>
  <c r="AR331" i="76"/>
  <c r="N66" i="76"/>
  <c r="AM94" i="76"/>
  <c r="P94" i="76"/>
  <c r="P229" i="76"/>
  <c r="AN228" i="76"/>
  <c r="U228" i="76"/>
  <c r="P228" i="76" s="1"/>
  <c r="AP143" i="76"/>
  <c r="N26" i="76"/>
  <c r="N25" i="76" s="1"/>
  <c r="M25" i="76"/>
  <c r="AR26" i="76"/>
  <c r="BA59" i="76"/>
  <c r="AQ59" i="76"/>
  <c r="J18" i="82"/>
  <c r="L18" i="82" s="1"/>
  <c r="X148" i="76"/>
  <c r="AP148" i="76" s="1"/>
  <c r="I793" i="22"/>
  <c r="P247" i="76"/>
  <c r="AM247" i="76"/>
  <c r="N235" i="76"/>
  <c r="M234" i="76"/>
  <c r="AR235" i="76"/>
  <c r="Q109" i="76"/>
  <c r="AM109" i="76"/>
  <c r="AO278" i="76"/>
  <c r="AQ84" i="76"/>
  <c r="BA84" i="76"/>
  <c r="P280" i="76"/>
  <c r="X280" i="76" s="1"/>
  <c r="AP280" i="76" s="1"/>
  <c r="AO280" i="76"/>
  <c r="Q74" i="76"/>
  <c r="AM74" i="76"/>
  <c r="I20" i="66"/>
  <c r="V44" i="76"/>
  <c r="X44" i="76" s="1"/>
  <c r="AP44" i="76" s="1"/>
  <c r="Q37" i="76"/>
  <c r="AP95" i="76"/>
  <c r="H15" i="66"/>
  <c r="I15" i="66" s="1"/>
  <c r="H14" i="66"/>
  <c r="I14" i="66" s="1"/>
  <c r="H13" i="66"/>
  <c r="I13" i="66" s="1"/>
  <c r="D32" i="65"/>
  <c r="F32" i="65" s="1"/>
  <c r="D30" i="65"/>
  <c r="F30" i="65" s="1"/>
  <c r="D31" i="65"/>
  <c r="F31" i="65" s="1"/>
  <c r="M243" i="76"/>
  <c r="BA30" i="76"/>
  <c r="AQ231" i="76"/>
  <c r="BA231" i="76"/>
  <c r="BA111" i="76"/>
  <c r="AQ111" i="76"/>
  <c r="O83" i="76"/>
  <c r="AM84" i="76"/>
  <c r="BA323" i="76"/>
  <c r="AQ323" i="76"/>
  <c r="Q29" i="76"/>
  <c r="AM29" i="76"/>
  <c r="Q56" i="76"/>
  <c r="AM56" i="76"/>
  <c r="AQ321" i="76"/>
  <c r="BA321" i="76"/>
  <c r="AQ36" i="76"/>
  <c r="BA36" i="76"/>
  <c r="Q193" i="76"/>
  <c r="O93" i="76"/>
  <c r="Q93" i="76" s="1"/>
  <c r="N92" i="76"/>
  <c r="O244" i="76"/>
  <c r="Q244" i="76" s="1"/>
  <c r="N243" i="76"/>
  <c r="V323" i="76"/>
  <c r="O278" i="76"/>
  <c r="Q278" i="76" s="1"/>
  <c r="N277" i="76"/>
  <c r="BA85" i="76"/>
  <c r="AQ85" i="76"/>
  <c r="Q327" i="76"/>
  <c r="Q110" i="76"/>
  <c r="Q280" i="76"/>
  <c r="V252" i="76"/>
  <c r="X252" i="76" s="1"/>
  <c r="AP252" i="76" s="1"/>
  <c r="K20" i="90"/>
  <c r="H9" i="94"/>
  <c r="I21" i="22"/>
  <c r="I20" i="22" s="1"/>
  <c r="I690" i="22"/>
  <c r="F14" i="101"/>
  <c r="G14" i="101" s="1"/>
  <c r="G6" i="101"/>
  <c r="Q34" i="76"/>
  <c r="AM47" i="76"/>
  <c r="Q47" i="76"/>
  <c r="O43" i="76"/>
  <c r="Q147" i="76"/>
  <c r="AM147" i="76"/>
  <c r="Q153" i="76"/>
  <c r="AM153" i="76"/>
  <c r="P47" i="76"/>
  <c r="N166" i="76"/>
  <c r="Q166" i="76" s="1"/>
  <c r="P324" i="76"/>
  <c r="V36" i="76"/>
  <c r="X39" i="76"/>
  <c r="AP39" i="76" s="1"/>
  <c r="I774" i="22"/>
  <c r="I602" i="22"/>
  <c r="I649" i="22"/>
  <c r="I531" i="22"/>
  <c r="F15" i="101"/>
  <c r="G15" i="101" s="1"/>
  <c r="G7" i="101"/>
  <c r="Q35" i="76"/>
  <c r="AM35" i="76"/>
  <c r="Q142" i="76"/>
  <c r="AM142" i="76"/>
  <c r="AM149" i="76"/>
  <c r="Q149" i="76"/>
  <c r="X269" i="76"/>
  <c r="AP269" i="76" s="1"/>
  <c r="P147" i="76"/>
  <c r="X147" i="76" s="1"/>
  <c r="AP147" i="76" s="1"/>
  <c r="P149" i="76"/>
  <c r="X149" i="76" s="1"/>
  <c r="AP149" i="76" s="1"/>
  <c r="I15" i="74"/>
  <c r="G20" i="74"/>
  <c r="BA158" i="76"/>
  <c r="AQ158" i="76"/>
  <c r="J17" i="82"/>
  <c r="L17" i="82" s="1"/>
  <c r="M17" i="82" s="1"/>
  <c r="N17" i="82" s="1"/>
  <c r="J5" i="82"/>
  <c r="L5" i="82" s="1"/>
  <c r="M5" i="82" s="1"/>
  <c r="N5" i="82" s="1"/>
  <c r="K6" i="82"/>
  <c r="L6" i="82" s="1"/>
  <c r="M6" i="82" s="1"/>
  <c r="N6" i="82" s="1"/>
  <c r="F304" i="45"/>
  <c r="F1342" i="45"/>
  <c r="F1100" i="45"/>
  <c r="F273" i="45"/>
  <c r="I43" i="90"/>
  <c r="I591" i="22"/>
  <c r="I546" i="22"/>
  <c r="E24" i="62"/>
  <c r="C28" i="77"/>
  <c r="H44" i="78"/>
  <c r="H45" i="78" s="1"/>
  <c r="I45" i="78" s="1"/>
  <c r="H27" i="70"/>
  <c r="I22" i="63"/>
  <c r="G12" i="70" s="1"/>
  <c r="I30" i="63"/>
  <c r="H40" i="78"/>
  <c r="H41" i="78" s="1"/>
  <c r="I41" i="78" s="1"/>
  <c r="D26" i="79"/>
  <c r="J26" i="79" s="1"/>
  <c r="I14" i="22"/>
  <c r="I12" i="22"/>
  <c r="I282" i="22"/>
  <c r="I283" i="22"/>
  <c r="I636" i="22"/>
  <c r="I634" i="22"/>
  <c r="I670" i="22"/>
  <c r="I628" i="22"/>
  <c r="I818" i="22"/>
  <c r="I39" i="90"/>
  <c r="G17" i="94" s="1"/>
  <c r="I820" i="22"/>
  <c r="G8" i="101"/>
  <c r="F16" i="101"/>
  <c r="F28" i="101"/>
  <c r="G28" i="101" s="1"/>
  <c r="F464" i="45"/>
  <c r="F29" i="101"/>
  <c r="G29" i="101" s="1"/>
  <c r="F17" i="101"/>
  <c r="G9" i="101"/>
  <c r="G10" i="101"/>
  <c r="F18" i="101"/>
  <c r="F30" i="101"/>
  <c r="G30" i="101" s="1"/>
  <c r="H4" i="107"/>
  <c r="F19" i="107" s="1"/>
  <c r="F31" i="101"/>
  <c r="G31" i="101" s="1"/>
  <c r="F19" i="101"/>
  <c r="G11" i="101"/>
  <c r="F1273" i="45"/>
  <c r="F1343" i="45"/>
  <c r="F934" i="45"/>
  <c r="F933" i="45"/>
  <c r="I564" i="22"/>
  <c r="I610" i="22"/>
  <c r="I566" i="22"/>
  <c r="J19" i="26"/>
  <c r="K19" i="26" s="1"/>
  <c r="F6" i="58"/>
  <c r="G6" i="58" s="1"/>
  <c r="E42" i="62"/>
  <c r="F32" i="70" s="1"/>
  <c r="E43" i="62"/>
  <c r="F33" i="70" s="1"/>
  <c r="D31" i="84"/>
  <c r="D38" i="84" s="1"/>
  <c r="G35" i="84" s="1"/>
  <c r="G24" i="104" s="1"/>
  <c r="I74" i="85"/>
  <c r="I119" i="63"/>
  <c r="G127" i="63"/>
  <c r="I127" i="63" s="1"/>
  <c r="I120" i="63"/>
  <c r="D122" i="63"/>
  <c r="I128" i="63" s="1"/>
  <c r="G125" i="63"/>
  <c r="I125" i="63" s="1"/>
  <c r="I114" i="63"/>
  <c r="G122" i="63"/>
  <c r="I122" i="63" s="1"/>
  <c r="H31" i="70"/>
  <c r="G116" i="63"/>
  <c r="I108" i="63"/>
  <c r="I105" i="63" s="1"/>
  <c r="K9" i="82"/>
  <c r="K8" i="82" s="1"/>
  <c r="J14" i="82"/>
  <c r="L14" i="82" s="1"/>
  <c r="M14" i="82" s="1"/>
  <c r="N14" i="82" s="1"/>
  <c r="I58" i="85"/>
  <c r="I75" i="85"/>
  <c r="I165" i="63"/>
  <c r="I38" i="97"/>
  <c r="H54" i="70" s="1"/>
  <c r="I36" i="97"/>
  <c r="H6" i="94"/>
  <c r="K8" i="90"/>
  <c r="P145" i="76"/>
  <c r="X145" i="76" s="1"/>
  <c r="AP145" i="76" s="1"/>
  <c r="Q145" i="76"/>
  <c r="AM145" i="76"/>
  <c r="X322" i="76"/>
  <c r="AP322" i="76" s="1"/>
  <c r="X35" i="76"/>
  <c r="AP35" i="76" s="1"/>
  <c r="X338" i="76"/>
  <c r="AP338" i="76" s="1"/>
  <c r="I38" i="63"/>
  <c r="I40" i="63"/>
  <c r="X59" i="76"/>
  <c r="AP59" i="76" s="1"/>
  <c r="X85" i="76"/>
  <c r="AP85" i="76" s="1"/>
  <c r="I87" i="85"/>
  <c r="I88" i="85"/>
  <c r="V246" i="76"/>
  <c r="P220" i="76"/>
  <c r="X220" i="76" s="1"/>
  <c r="AP220" i="76" s="1"/>
  <c r="P111" i="76"/>
  <c r="P36" i="76"/>
  <c r="AM58" i="76"/>
  <c r="Q58" i="76"/>
  <c r="T11" i="80"/>
  <c r="K11" i="80" s="1"/>
  <c r="K10" i="80" s="1"/>
  <c r="AP68" i="76"/>
  <c r="Q261" i="76"/>
  <c r="BA269" i="76"/>
  <c r="AQ269" i="76"/>
  <c r="T12" i="80"/>
  <c r="V324" i="76"/>
  <c r="X58" i="76"/>
  <c r="I17" i="102"/>
  <c r="H58" i="70" s="1"/>
  <c r="N6" i="74"/>
  <c r="H33" i="90"/>
  <c r="I33" i="90" s="1"/>
  <c r="K33" i="90" s="1"/>
  <c r="N173" i="76"/>
  <c r="O173" i="76" s="1"/>
  <c r="V66" i="76"/>
  <c r="I29" i="73"/>
  <c r="Q54" i="76"/>
  <c r="O53" i="76"/>
  <c r="AM54" i="76"/>
  <c r="M72" i="76"/>
  <c r="AR76" i="76"/>
  <c r="Q146" i="76"/>
  <c r="AM146" i="76"/>
  <c r="X299" i="76"/>
  <c r="AP299" i="76" s="1"/>
  <c r="F290" i="45"/>
  <c r="F288" i="45"/>
  <c r="U227" i="76"/>
  <c r="V227" i="76" s="1"/>
  <c r="AN227" i="76"/>
  <c r="F8" i="76"/>
  <c r="I23" i="73"/>
  <c r="K12" i="90"/>
  <c r="H7" i="94"/>
  <c r="O75" i="76"/>
  <c r="Q75" i="76" s="1"/>
  <c r="N72" i="76"/>
  <c r="Q151" i="76"/>
  <c r="AM151" i="76"/>
  <c r="Q152" i="76"/>
  <c r="AM152" i="76"/>
  <c r="D28" i="74"/>
  <c r="L30" i="74" s="1"/>
  <c r="H26" i="74"/>
  <c r="I26" i="74" s="1"/>
  <c r="K26" i="74" s="1"/>
  <c r="L26" i="74"/>
  <c r="M26" i="74" s="1"/>
  <c r="O26" i="74" s="1"/>
  <c r="X221" i="76"/>
  <c r="AP221" i="76" s="1"/>
  <c r="X123" i="76"/>
  <c r="AP123" i="76" s="1"/>
  <c r="G11" i="80"/>
  <c r="H11" i="80" s="1"/>
  <c r="H22" i="66"/>
  <c r="I22" i="66" s="1"/>
  <c r="J22" i="66" s="1"/>
  <c r="X151" i="76"/>
  <c r="AP151" i="76" s="1"/>
  <c r="P202" i="76"/>
  <c r="G33" i="84"/>
  <c r="P5" i="84"/>
  <c r="N5" i="84"/>
  <c r="Q22" i="76"/>
  <c r="P22" i="76"/>
  <c r="X22" i="76" s="1"/>
  <c r="AP22" i="76" s="1"/>
  <c r="AM22" i="76"/>
  <c r="P190" i="76"/>
  <c r="X190" i="76" s="1"/>
  <c r="AP190" i="76" s="1"/>
  <c r="T189" i="76"/>
  <c r="AN190" i="76"/>
  <c r="U231" i="76"/>
  <c r="AN231" i="76"/>
  <c r="P114" i="76"/>
  <c r="V114" i="76"/>
  <c r="AN114" i="76"/>
  <c r="J38" i="26"/>
  <c r="N172" i="76"/>
  <c r="O172" i="76" s="1"/>
  <c r="Q57" i="76"/>
  <c r="P57" i="76"/>
  <c r="X57" i="76" s="1"/>
  <c r="AP57" i="76" s="1"/>
  <c r="AM57" i="76"/>
  <c r="O76" i="76"/>
  <c r="AM76" i="76" s="1"/>
  <c r="Q55" i="76"/>
  <c r="AM55" i="76"/>
  <c r="X256" i="76"/>
  <c r="AP256" i="76" s="1"/>
  <c r="I21" i="66"/>
  <c r="G27" i="66"/>
  <c r="I27" i="66" s="1"/>
  <c r="I17" i="108"/>
  <c r="J17" i="108" s="1"/>
  <c r="I19" i="97"/>
  <c r="I16" i="97" s="1"/>
  <c r="H48" i="70"/>
  <c r="I35" i="97"/>
  <c r="I26" i="85"/>
  <c r="I32" i="85"/>
  <c r="I44" i="85"/>
  <c r="I53" i="85"/>
  <c r="I38" i="85"/>
  <c r="I20" i="85"/>
  <c r="I50" i="85"/>
  <c r="I26" i="102"/>
  <c r="I11" i="102"/>
  <c r="I20" i="102"/>
  <c r="I18" i="102" s="1"/>
  <c r="I27" i="102"/>
  <c r="H60" i="70" s="1"/>
  <c r="I24" i="102"/>
  <c r="I14" i="102"/>
  <c r="B70" i="63"/>
  <c r="B77" i="63" s="1"/>
  <c r="B84" i="63" s="1"/>
  <c r="B133" i="63" s="1"/>
  <c r="B140" i="63" s="1"/>
  <c r="B158" i="63" s="1"/>
  <c r="B164" i="63" s="1"/>
  <c r="B170" i="63" s="1"/>
  <c r="I22" i="108"/>
  <c r="G30" i="74"/>
  <c r="M30" i="74" s="1"/>
  <c r="O30" i="74" s="1"/>
  <c r="I64" i="85"/>
  <c r="J62" i="85" s="1"/>
  <c r="H19" i="104" s="1"/>
  <c r="I69" i="63"/>
  <c r="I55" i="63"/>
  <c r="I101" i="63"/>
  <c r="I54" i="63"/>
  <c r="I81" i="85"/>
  <c r="I82" i="85"/>
  <c r="I76" i="85"/>
  <c r="I46" i="85"/>
  <c r="I56" i="85"/>
  <c r="I57" i="85"/>
  <c r="I8" i="85"/>
  <c r="K8" i="85" s="1"/>
  <c r="I6" i="104" s="1"/>
  <c r="I54" i="85"/>
  <c r="K54" i="85" s="1"/>
  <c r="I16" i="104" s="1"/>
  <c r="I47" i="85"/>
  <c r="K47" i="85" s="1"/>
  <c r="I15" i="104" s="1"/>
  <c r="I41" i="85"/>
  <c r="K41" i="85" s="1"/>
  <c r="I14" i="104" s="1"/>
  <c r="I28" i="85"/>
  <c r="I16" i="85"/>
  <c r="J14" i="85" s="1"/>
  <c r="H9" i="104" s="1"/>
  <c r="I11" i="85"/>
  <c r="J9" i="85" s="1"/>
  <c r="H7" i="104" s="1"/>
  <c r="I29" i="85"/>
  <c r="K29" i="85" s="1"/>
  <c r="I11" i="104" s="1"/>
  <c r="J5" i="85"/>
  <c r="H6" i="104" s="1"/>
  <c r="I40" i="85"/>
  <c r="I33" i="85"/>
  <c r="I27" i="97"/>
  <c r="G53" i="70" s="1"/>
  <c r="I23" i="97"/>
  <c r="I13" i="97"/>
  <c r="I16" i="102"/>
  <c r="L9" i="82"/>
  <c r="L8" i="82" s="1"/>
  <c r="C140" i="63"/>
  <c r="C158" i="63" s="1"/>
  <c r="C164" i="63" s="1"/>
  <c r="C170" i="63" s="1"/>
  <c r="C151" i="63"/>
  <c r="I163" i="63"/>
  <c r="I157" i="63"/>
  <c r="E140" i="63"/>
  <c r="E158" i="63" s="1"/>
  <c r="E164" i="63" s="1"/>
  <c r="E170" i="63" s="1"/>
  <c r="E151" i="63"/>
  <c r="I146" i="63"/>
  <c r="I76" i="63"/>
  <c r="I94" i="63"/>
  <c r="I92" i="63" s="1"/>
  <c r="I83" i="63"/>
  <c r="I139" i="63"/>
  <c r="I132" i="63"/>
  <c r="I90" i="63"/>
  <c r="I88" i="63" s="1"/>
  <c r="I62" i="63"/>
  <c r="I53" i="63"/>
  <c r="I19" i="63"/>
  <c r="I17" i="63" s="1"/>
  <c r="I100" i="63"/>
  <c r="I37" i="63"/>
  <c r="I5" i="63"/>
  <c r="K45" i="90"/>
  <c r="H17" i="94"/>
  <c r="K38" i="90"/>
  <c r="H16" i="94"/>
  <c r="K16" i="90"/>
  <c r="H8" i="94"/>
  <c r="H12" i="94"/>
  <c r="K25" i="90"/>
  <c r="O170" i="76"/>
  <c r="Q170" i="76" s="1"/>
  <c r="BA167" i="76"/>
  <c r="AQ167" i="76"/>
  <c r="O200" i="76"/>
  <c r="N199" i="76"/>
  <c r="O298" i="76"/>
  <c r="P298" i="76" s="1"/>
  <c r="BA185" i="76"/>
  <c r="AQ185" i="76"/>
  <c r="I37" i="97"/>
  <c r="M63" i="76"/>
  <c r="AR69" i="76"/>
  <c r="I15" i="90"/>
  <c r="I13" i="90" s="1"/>
  <c r="G8" i="94" s="1"/>
  <c r="X333" i="76"/>
  <c r="AP333" i="76" s="1"/>
  <c r="AO110" i="76"/>
  <c r="V110" i="76"/>
  <c r="V243" i="76"/>
  <c r="P83" i="76"/>
  <c r="AO124" i="76"/>
  <c r="U119" i="76"/>
  <c r="I6" i="75"/>
  <c r="J6" i="75" s="1"/>
  <c r="H28" i="75"/>
  <c r="I8" i="75"/>
  <c r="J8" i="75" s="1"/>
  <c r="I10" i="75"/>
  <c r="J10" i="75" s="1"/>
  <c r="I9" i="75"/>
  <c r="H23" i="75"/>
  <c r="I7" i="75"/>
  <c r="J7" i="75" s="1"/>
  <c r="H18" i="75"/>
  <c r="H19" i="75"/>
  <c r="H25" i="75"/>
  <c r="H27" i="75"/>
  <c r="H26" i="75"/>
  <c r="H17" i="75"/>
  <c r="H29" i="75"/>
  <c r="I5" i="75"/>
  <c r="J5" i="75" s="1"/>
  <c r="P155" i="76"/>
  <c r="U75" i="76"/>
  <c r="AO75" i="76" s="1"/>
  <c r="AN75" i="76"/>
  <c r="BA206" i="76"/>
  <c r="AQ206" i="76"/>
  <c r="P218" i="76"/>
  <c r="AM218" i="76"/>
  <c r="BA148" i="76"/>
  <c r="AQ148" i="76"/>
  <c r="I19" i="66"/>
  <c r="G25" i="66"/>
  <c r="I25" i="66" s="1"/>
  <c r="H18" i="88"/>
  <c r="F35" i="58"/>
  <c r="H5" i="88"/>
  <c r="I5" i="88" s="1"/>
  <c r="K5" i="88" s="1"/>
  <c r="L7" i="82"/>
  <c r="M7" i="82" s="1"/>
  <c r="N7" i="82" s="1"/>
  <c r="I162" i="63"/>
  <c r="E27" i="88"/>
  <c r="F28" i="88" s="1"/>
  <c r="I34" i="85"/>
  <c r="K34" i="85" s="1"/>
  <c r="I12" i="104" s="1"/>
  <c r="I31" i="97"/>
  <c r="H23" i="94"/>
  <c r="K63" i="90"/>
  <c r="N11" i="80"/>
  <c r="O11" i="80" s="1"/>
  <c r="M10" i="80"/>
  <c r="H50" i="90"/>
  <c r="I50" i="90" s="1"/>
  <c r="Q23" i="76"/>
  <c r="P23" i="76"/>
  <c r="AM23" i="76"/>
  <c r="AP334" i="76"/>
  <c r="AP304" i="76"/>
  <c r="Q162" i="76"/>
  <c r="U128" i="76"/>
  <c r="AO129" i="76"/>
  <c r="X55" i="76"/>
  <c r="AP55" i="76" s="1"/>
  <c r="H13" i="74"/>
  <c r="I13" i="74" s="1"/>
  <c r="K13" i="74" s="1"/>
  <c r="V131" i="76"/>
  <c r="AO131" i="76"/>
  <c r="V83" i="76"/>
  <c r="X84" i="76"/>
  <c r="AP84" i="76" s="1"/>
  <c r="U73" i="76"/>
  <c r="T72" i="76"/>
  <c r="AN73" i="76"/>
  <c r="X215" i="76"/>
  <c r="AP215" i="76" s="1"/>
  <c r="H28" i="90"/>
  <c r="I28" i="90" s="1"/>
  <c r="O214" i="76"/>
  <c r="L5" i="73"/>
  <c r="I21" i="73"/>
  <c r="X253" i="76"/>
  <c r="AP253" i="76" s="1"/>
  <c r="U226" i="76"/>
  <c r="AN226" i="76"/>
  <c r="I37" i="90"/>
  <c r="I35" i="90" s="1"/>
  <c r="G16" i="94" s="1"/>
  <c r="X12" i="76"/>
  <c r="AP12" i="76" s="1"/>
  <c r="V10" i="76"/>
  <c r="H24" i="75"/>
  <c r="V319" i="76"/>
  <c r="X183" i="76"/>
  <c r="X86" i="76"/>
  <c r="AP86" i="76" s="1"/>
  <c r="X216" i="76"/>
  <c r="V202" i="76"/>
  <c r="P206" i="76"/>
  <c r="AM206" i="76"/>
  <c r="V326" i="76"/>
  <c r="Q103" i="76"/>
  <c r="N101" i="76"/>
  <c r="AP58" i="76"/>
  <c r="I25" i="73"/>
  <c r="G24" i="66"/>
  <c r="I24" i="66" s="1"/>
  <c r="I18" i="66"/>
  <c r="I28" i="73"/>
  <c r="Q150" i="76"/>
  <c r="AM150" i="76"/>
  <c r="P150" i="76"/>
  <c r="M169" i="76"/>
  <c r="AR170" i="76"/>
  <c r="O255" i="76"/>
  <c r="Q255" i="76" s="1"/>
  <c r="N251" i="76"/>
  <c r="I94" i="85"/>
  <c r="I49" i="63"/>
  <c r="I46" i="63" s="1"/>
  <c r="O28" i="76"/>
  <c r="Q28" i="76" s="1"/>
  <c r="H20" i="94"/>
  <c r="K58" i="90"/>
  <c r="H21" i="94"/>
  <c r="Q21" i="76"/>
  <c r="P21" i="76"/>
  <c r="AM21" i="76"/>
  <c r="M199" i="76"/>
  <c r="AR200" i="76"/>
  <c r="H17" i="74"/>
  <c r="I17" i="74" s="1"/>
  <c r="K17" i="74" s="1"/>
  <c r="D20" i="74"/>
  <c r="L17" i="74"/>
  <c r="M17" i="74" s="1"/>
  <c r="O17" i="74" s="1"/>
  <c r="X162" i="76"/>
  <c r="AP162" i="76" s="1"/>
  <c r="X120" i="76"/>
  <c r="AP120" i="76" s="1"/>
  <c r="V25" i="76"/>
  <c r="X146" i="76"/>
  <c r="AP146" i="76" s="1"/>
  <c r="AO321" i="76"/>
  <c r="V321" i="76"/>
  <c r="X321" i="76" s="1"/>
  <c r="AP321" i="76" s="1"/>
  <c r="X262" i="76"/>
  <c r="V261" i="76"/>
  <c r="U243" i="76"/>
  <c r="AO246" i="76"/>
  <c r="AN203" i="76"/>
  <c r="U203" i="76"/>
  <c r="AO203" i="76" s="1"/>
  <c r="P110" i="76"/>
  <c r="Y72" i="76"/>
  <c r="Y9" i="76" s="1"/>
  <c r="Y8" i="76" s="1"/>
  <c r="D22" i="91"/>
  <c r="D33" i="91" s="1"/>
  <c r="E21" i="91" s="1"/>
  <c r="D24" i="93"/>
  <c r="D35" i="93" s="1"/>
  <c r="E18" i="93" s="1"/>
  <c r="F18" i="93" s="1"/>
  <c r="F7" i="94" s="1"/>
  <c r="AQ215" i="76"/>
  <c r="BA215" i="76"/>
  <c r="U214" i="76"/>
  <c r="AO220" i="76"/>
  <c r="M155" i="76"/>
  <c r="AR167" i="76"/>
  <c r="P124" i="76"/>
  <c r="V111" i="76"/>
  <c r="AN74" i="76"/>
  <c r="U74" i="76"/>
  <c r="AO74" i="76" s="1"/>
  <c r="I24" i="90"/>
  <c r="I22" i="90" s="1"/>
  <c r="G12" i="94" s="1"/>
  <c r="P185" i="76"/>
  <c r="AM185" i="76"/>
  <c r="P10" i="76"/>
  <c r="P319" i="76"/>
  <c r="AP183" i="76"/>
  <c r="O141" i="76"/>
  <c r="Q129" i="76"/>
  <c r="N128" i="76"/>
  <c r="F29" i="73"/>
  <c r="AQ45" i="76"/>
  <c r="BA45" i="76"/>
  <c r="P326" i="76"/>
  <c r="F21" i="73"/>
  <c r="I24" i="73"/>
  <c r="I27" i="73"/>
  <c r="F23" i="73"/>
  <c r="F25" i="73"/>
  <c r="P12" i="80"/>
  <c r="O27" i="76"/>
  <c r="Q27" i="76" s="1"/>
  <c r="BA163" i="76"/>
  <c r="AQ163" i="76"/>
  <c r="M250" i="76"/>
  <c r="N250" i="76" s="1"/>
  <c r="Q250" i="76" s="1"/>
  <c r="U250" i="76"/>
  <c r="U33" i="76"/>
  <c r="V34" i="76"/>
  <c r="AO34" i="76"/>
  <c r="X109" i="76"/>
  <c r="AP109" i="76" s="1"/>
  <c r="AN115" i="76"/>
  <c r="X298" i="76"/>
  <c r="I44" i="63"/>
  <c r="I41" i="63" s="1"/>
  <c r="G19" i="88"/>
  <c r="I28" i="63"/>
  <c r="I26" i="63" s="1"/>
  <c r="I15" i="97"/>
  <c r="K12" i="80"/>
  <c r="I6" i="102"/>
  <c r="I24" i="97"/>
  <c r="I22" i="97"/>
  <c r="O12" i="80"/>
  <c r="J12" i="80" s="1"/>
  <c r="H59" i="70"/>
  <c r="C34" i="67"/>
  <c r="D32" i="67" s="1"/>
  <c r="E32" i="67" s="1"/>
  <c r="P20" i="76"/>
  <c r="O19" i="76"/>
  <c r="AM20" i="76"/>
  <c r="Q20" i="76"/>
  <c r="N69" i="76"/>
  <c r="N171" i="76"/>
  <c r="N169" i="76" s="1"/>
  <c r="X163" i="76"/>
  <c r="AP163" i="76" s="1"/>
  <c r="AP216" i="76"/>
  <c r="V169" i="76"/>
  <c r="V112" i="76"/>
  <c r="AO112" i="76"/>
  <c r="P112" i="76"/>
  <c r="AO29" i="76"/>
  <c r="P29" i="76"/>
  <c r="X29" i="76" s="1"/>
  <c r="V189" i="76"/>
  <c r="X121" i="76"/>
  <c r="AP121" i="76" s="1"/>
  <c r="X327" i="76"/>
  <c r="AP327" i="76" s="1"/>
  <c r="AP262" i="76"/>
  <c r="P261" i="76"/>
  <c r="AP230" i="76"/>
  <c r="V116" i="76"/>
  <c r="X116" i="76" s="1"/>
  <c r="AP116" i="76" s="1"/>
  <c r="AO116" i="76"/>
  <c r="AN78" i="76"/>
  <c r="U78" i="76"/>
  <c r="AO78" i="76" s="1"/>
  <c r="X87" i="76"/>
  <c r="AP87" i="76" s="1"/>
  <c r="U225" i="76"/>
  <c r="AN225" i="76"/>
  <c r="T224" i="76"/>
  <c r="BA191" i="76"/>
  <c r="AQ191" i="76"/>
  <c r="AQ340" i="76"/>
  <c r="BA340" i="76"/>
  <c r="U115" i="76"/>
  <c r="AO115" i="76" s="1"/>
  <c r="X324" i="76"/>
  <c r="AP324" i="76" s="1"/>
  <c r="V300" i="76"/>
  <c r="X300" i="76" s="1"/>
  <c r="AP300" i="76" s="1"/>
  <c r="AO300" i="76"/>
  <c r="V178" i="76"/>
  <c r="X182" i="76"/>
  <c r="AP182" i="76" s="1"/>
  <c r="X159" i="76"/>
  <c r="AP159" i="76" s="1"/>
  <c r="V155" i="76"/>
  <c r="V124" i="76"/>
  <c r="X124" i="76" s="1"/>
  <c r="I26" i="90"/>
  <c r="G13" i="94" s="1"/>
  <c r="AP236" i="76"/>
  <c r="X38" i="76"/>
  <c r="AP38" i="76" s="1"/>
  <c r="X153" i="76"/>
  <c r="AP153" i="76" s="1"/>
  <c r="X30" i="76"/>
  <c r="AP30" i="76" s="1"/>
  <c r="G8" i="75"/>
  <c r="H8" i="75" s="1"/>
  <c r="G5" i="75"/>
  <c r="H5" i="75" s="1"/>
  <c r="E25" i="75"/>
  <c r="G9" i="75"/>
  <c r="G6" i="75"/>
  <c r="H6" i="75" s="1"/>
  <c r="G7" i="75"/>
  <c r="H7" i="75" s="1"/>
  <c r="E18" i="75"/>
  <c r="G10" i="75"/>
  <c r="H10" i="75" s="1"/>
  <c r="E26" i="75"/>
  <c r="E27" i="75"/>
  <c r="E23" i="75"/>
  <c r="E20" i="75"/>
  <c r="E24" i="75"/>
  <c r="E29" i="75"/>
  <c r="E17" i="75"/>
  <c r="E28" i="75"/>
  <c r="E19" i="75"/>
  <c r="V325" i="76"/>
  <c r="X325" i="76" s="1"/>
  <c r="AP325" i="76" s="1"/>
  <c r="AO325" i="76"/>
  <c r="AO200" i="76"/>
  <c r="AO125" i="76"/>
  <c r="V125" i="76"/>
  <c r="X125" i="76" s="1"/>
  <c r="AP125" i="76" s="1"/>
  <c r="U63" i="76"/>
  <c r="AO65" i="76"/>
  <c r="V65" i="76"/>
  <c r="Q218" i="76"/>
  <c r="AN76" i="76"/>
  <c r="U76" i="76"/>
  <c r="P76" i="76" s="1"/>
  <c r="X340" i="76"/>
  <c r="AP340" i="76" s="1"/>
  <c r="F27" i="73"/>
  <c r="I20" i="73"/>
  <c r="I19" i="73"/>
  <c r="J27" i="26"/>
  <c r="K27" i="26" s="1"/>
  <c r="H10" i="88"/>
  <c r="I10" i="88" s="1"/>
  <c r="K10" i="88" s="1"/>
  <c r="H9" i="88"/>
  <c r="I9" i="88" s="1"/>
  <c r="K9" i="88" s="1"/>
  <c r="H8" i="88"/>
  <c r="I8" i="88" s="1"/>
  <c r="K8" i="88" s="1"/>
  <c r="J10" i="72"/>
  <c r="L10" i="72" s="1"/>
  <c r="F42" i="58"/>
  <c r="G42" i="58" s="1"/>
  <c r="H24" i="88"/>
  <c r="I24" i="88" s="1"/>
  <c r="K24" i="88" s="1"/>
  <c r="K23" i="88" s="1"/>
  <c r="I33" i="63"/>
  <c r="D21" i="104"/>
  <c r="D18" i="104" s="1"/>
  <c r="D22" i="104"/>
  <c r="D30" i="86"/>
  <c r="I145" i="63"/>
  <c r="I25" i="63"/>
  <c r="D29" i="86"/>
  <c r="G18" i="88"/>
  <c r="H10" i="66"/>
  <c r="I10" i="66" s="1"/>
  <c r="J10" i="66" s="1"/>
  <c r="I11" i="63"/>
  <c r="I9" i="63" s="1"/>
  <c r="I73" i="85"/>
  <c r="I13" i="63"/>
  <c r="I50" i="63"/>
  <c r="I67" i="85"/>
  <c r="K67" i="85" s="1"/>
  <c r="I19" i="104" s="1"/>
  <c r="I57" i="63"/>
  <c r="I59" i="85"/>
  <c r="I153" i="63"/>
  <c r="I48" i="78"/>
  <c r="I47" i="78" s="1"/>
  <c r="J47" i="78" s="1"/>
  <c r="H49" i="78"/>
  <c r="H28" i="70"/>
  <c r="I89" i="85"/>
  <c r="I86" i="85"/>
  <c r="I40" i="78"/>
  <c r="I39" i="78" s="1"/>
  <c r="J39" i="78" s="1"/>
  <c r="H9" i="70"/>
  <c r="I104" i="63"/>
  <c r="H10" i="21"/>
  <c r="I6" i="78"/>
  <c r="H7" i="78"/>
  <c r="I7" i="78" s="1"/>
  <c r="I80" i="85"/>
  <c r="I83" i="85"/>
  <c r="I23" i="85"/>
  <c r="K23" i="85" s="1"/>
  <c r="I10" i="104" s="1"/>
  <c r="I22" i="85"/>
  <c r="I12" i="85"/>
  <c r="K12" i="85" s="1"/>
  <c r="I7" i="104" s="1"/>
  <c r="I95" i="85"/>
  <c r="I177" i="63"/>
  <c r="I175" i="63" s="1"/>
  <c r="M18" i="82"/>
  <c r="N18" i="82" s="1"/>
  <c r="M20" i="82"/>
  <c r="N20" i="82" s="1"/>
  <c r="M15" i="82"/>
  <c r="N15" i="82" s="1"/>
  <c r="J16" i="72"/>
  <c r="K16" i="72" s="1"/>
  <c r="J18" i="72"/>
  <c r="L18" i="72" s="1"/>
  <c r="J17" i="72"/>
  <c r="L17" i="72" s="1"/>
  <c r="J14" i="72"/>
  <c r="K14" i="72" s="1"/>
  <c r="J13" i="72"/>
  <c r="K13" i="72" s="1"/>
  <c r="J12" i="72"/>
  <c r="L12" i="72" s="1"/>
  <c r="J52" i="26"/>
  <c r="K52" i="26" s="1"/>
  <c r="G21" i="92"/>
  <c r="H21" i="92" s="1"/>
  <c r="D23" i="94" s="1"/>
  <c r="J39" i="26"/>
  <c r="K39" i="26" s="1"/>
  <c r="J28" i="26"/>
  <c r="K28" i="26" s="1"/>
  <c r="J13" i="26"/>
  <c r="K13" i="26" s="1"/>
  <c r="J32" i="26"/>
  <c r="K32" i="26" s="1"/>
  <c r="J33" i="26"/>
  <c r="K33" i="26" s="1"/>
  <c r="J46" i="26"/>
  <c r="K46" i="26" s="1"/>
  <c r="G5" i="92"/>
  <c r="H5" i="92" s="1"/>
  <c r="D7" i="94" s="1"/>
  <c r="J9" i="72"/>
  <c r="G6" i="92"/>
  <c r="H6" i="92" s="1"/>
  <c r="D8" i="94" s="1"/>
  <c r="G4" i="92"/>
  <c r="H4" i="92" s="1"/>
  <c r="J8" i="72"/>
  <c r="F8" i="100" l="1"/>
  <c r="G8" i="100" s="1"/>
  <c r="K36" i="26"/>
  <c r="AQ131" i="76"/>
  <c r="X301" i="76"/>
  <c r="AP301" i="76" s="1"/>
  <c r="X67" i="76"/>
  <c r="AP67" i="76" s="1"/>
  <c r="P43" i="76"/>
  <c r="X258" i="76"/>
  <c r="X246" i="76"/>
  <c r="AP246" i="76" s="1"/>
  <c r="X36" i="76"/>
  <c r="AP36" i="76" s="1"/>
  <c r="I44" i="78"/>
  <c r="I43" i="78" s="1"/>
  <c r="J43" i="78" s="1"/>
  <c r="I5" i="66"/>
  <c r="AQ333" i="76"/>
  <c r="BA333" i="76"/>
  <c r="N155" i="76"/>
  <c r="V113" i="76"/>
  <c r="AQ253" i="76"/>
  <c r="BA253" i="76"/>
  <c r="I49" i="78"/>
  <c r="E30" i="73"/>
  <c r="X111" i="76"/>
  <c r="AP111" i="76" s="1"/>
  <c r="X45" i="76"/>
  <c r="AP45" i="76" s="1"/>
  <c r="X202" i="76"/>
  <c r="AP202" i="76" s="1"/>
  <c r="M140" i="76"/>
  <c r="V43" i="76"/>
  <c r="H19" i="88"/>
  <c r="I19" i="88" s="1"/>
  <c r="K19" i="88" s="1"/>
  <c r="F38" i="58"/>
  <c r="G38" i="58" s="1"/>
  <c r="J38" i="58" s="1"/>
  <c r="H30" i="74"/>
  <c r="G123" i="63"/>
  <c r="I123" i="63" s="1"/>
  <c r="F5" i="100"/>
  <c r="G5" i="100" s="1"/>
  <c r="BA190" i="76"/>
  <c r="BA114" i="76"/>
  <c r="P33" i="76"/>
  <c r="AQ334" i="76"/>
  <c r="AO77" i="76"/>
  <c r="V77" i="76"/>
  <c r="F12" i="69"/>
  <c r="G12" i="69" s="1"/>
  <c r="F17" i="69"/>
  <c r="G17" i="69" s="1"/>
  <c r="F13" i="69"/>
  <c r="G13" i="69" s="1"/>
  <c r="F16" i="69"/>
  <c r="G16" i="69" s="1"/>
  <c r="F18" i="69"/>
  <c r="G18" i="69" s="1"/>
  <c r="F15" i="69"/>
  <c r="G15" i="69" s="1"/>
  <c r="F14" i="69"/>
  <c r="G14" i="69" s="1"/>
  <c r="P113" i="76"/>
  <c r="BA300" i="76"/>
  <c r="AQ300" i="76"/>
  <c r="G16" i="74"/>
  <c r="M12" i="74"/>
  <c r="M10" i="74" s="1"/>
  <c r="N10" i="74" s="1"/>
  <c r="G25" i="74"/>
  <c r="V53" i="76"/>
  <c r="Q214" i="76"/>
  <c r="AP258" i="76"/>
  <c r="H21" i="88"/>
  <c r="I21" i="88" s="1"/>
  <c r="K21" i="88" s="1"/>
  <c r="H12" i="88"/>
  <c r="I12" i="88" s="1"/>
  <c r="K12" i="88" s="1"/>
  <c r="F36" i="58"/>
  <c r="G36" i="58" s="1"/>
  <c r="J36" i="58" s="1"/>
  <c r="I662" i="22"/>
  <c r="X247" i="76"/>
  <c r="AP247" i="76" s="1"/>
  <c r="X77" i="76"/>
  <c r="AP77" i="76" s="1"/>
  <c r="BA258" i="76"/>
  <c r="AQ341" i="76"/>
  <c r="BA341" i="76"/>
  <c r="BA259" i="76"/>
  <c r="AQ259" i="76"/>
  <c r="AQ180" i="76"/>
  <c r="BA180" i="76"/>
  <c r="AO229" i="76"/>
  <c r="V229" i="76"/>
  <c r="X229" i="76" s="1"/>
  <c r="AP229" i="76" s="1"/>
  <c r="D33" i="65"/>
  <c r="AQ116" i="76"/>
  <c r="BA116" i="76"/>
  <c r="AQ46" i="76"/>
  <c r="BA46" i="76"/>
  <c r="AM180" i="76"/>
  <c r="P180" i="76"/>
  <c r="X180" i="76" s="1"/>
  <c r="AP180" i="76" s="1"/>
  <c r="AQ78" i="76"/>
  <c r="BA78" i="76"/>
  <c r="AM64" i="76"/>
  <c r="P64" i="76"/>
  <c r="X64" i="76" s="1"/>
  <c r="AP64" i="76" s="1"/>
  <c r="AM328" i="76"/>
  <c r="P328" i="76"/>
  <c r="AQ205" i="76"/>
  <c r="BA205" i="76"/>
  <c r="X219" i="76"/>
  <c r="AP219" i="76" s="1"/>
  <c r="P53" i="76"/>
  <c r="O178" i="76"/>
  <c r="G10" i="80"/>
  <c r="V251" i="76"/>
  <c r="X83" i="76"/>
  <c r="Q178" i="76"/>
  <c r="I12" i="102"/>
  <c r="AM34" i="76"/>
  <c r="BA196" i="76"/>
  <c r="X126" i="76"/>
  <c r="AP126" i="76" s="1"/>
  <c r="Q192" i="76"/>
  <c r="BA86" i="76"/>
  <c r="AQ86" i="76"/>
  <c r="Q83" i="76"/>
  <c r="AQ216" i="76"/>
  <c r="BA216" i="76"/>
  <c r="AQ123" i="76"/>
  <c r="BA123" i="76"/>
  <c r="Q119" i="76"/>
  <c r="AO201" i="76"/>
  <c r="V201" i="76"/>
  <c r="X201" i="76" s="1"/>
  <c r="AP201" i="76" s="1"/>
  <c r="BA73" i="76"/>
  <c r="AQ73" i="76"/>
  <c r="AQ126" i="76"/>
  <c r="BA126" i="76"/>
  <c r="AQ301" i="76"/>
  <c r="BA301" i="76"/>
  <c r="AQ64" i="76"/>
  <c r="BA64" i="76"/>
  <c r="AQ328" i="76"/>
  <c r="BA328" i="76"/>
  <c r="AQ227" i="76"/>
  <c r="BA227" i="76"/>
  <c r="G8" i="70"/>
  <c r="G50" i="70"/>
  <c r="I11" i="66"/>
  <c r="F5" i="58"/>
  <c r="G5" i="58" s="1"/>
  <c r="U199" i="76"/>
  <c r="P141" i="76"/>
  <c r="P214" i="76"/>
  <c r="V75" i="76"/>
  <c r="O33" i="76"/>
  <c r="AM192" i="76"/>
  <c r="P192" i="76"/>
  <c r="X192" i="76" s="1"/>
  <c r="AP192" i="76" s="1"/>
  <c r="AQ201" i="76"/>
  <c r="BA201" i="76"/>
  <c r="O279" i="76"/>
  <c r="Q279" i="76" s="1"/>
  <c r="AQ44" i="76"/>
  <c r="BA44" i="76"/>
  <c r="AM259" i="76"/>
  <c r="P259" i="76"/>
  <c r="BA48" i="76"/>
  <c r="AQ48" i="76"/>
  <c r="AM341" i="76"/>
  <c r="P341" i="76"/>
  <c r="X341" i="76" s="1"/>
  <c r="AP341" i="76" s="1"/>
  <c r="BA95" i="76"/>
  <c r="AQ95" i="76"/>
  <c r="BA39" i="76"/>
  <c r="AQ39" i="76"/>
  <c r="AP254" i="76"/>
  <c r="I28" i="74"/>
  <c r="M28" i="74"/>
  <c r="AQ225" i="76"/>
  <c r="BA225" i="76"/>
  <c r="Q224" i="76"/>
  <c r="AQ244" i="76"/>
  <c r="BA244" i="76"/>
  <c r="BA93" i="76"/>
  <c r="AQ93" i="76"/>
  <c r="Q92" i="76"/>
  <c r="BA74" i="76"/>
  <c r="AQ74" i="76"/>
  <c r="Q108" i="76"/>
  <c r="AQ109" i="76"/>
  <c r="BA109" i="76"/>
  <c r="O331" i="76"/>
  <c r="Q331" i="76" s="1"/>
  <c r="BA77" i="76"/>
  <c r="AQ77" i="76"/>
  <c r="D36" i="86"/>
  <c r="AQ56" i="76"/>
  <c r="BA56" i="76"/>
  <c r="V228" i="76"/>
  <c r="X228" i="76" s="1"/>
  <c r="AP228" i="76" s="1"/>
  <c r="AO228" i="76"/>
  <c r="AQ132" i="76"/>
  <c r="BA132" i="76"/>
  <c r="AQ278" i="76"/>
  <c r="BA278" i="76"/>
  <c r="O92" i="76"/>
  <c r="AM93" i="76"/>
  <c r="P93" i="76"/>
  <c r="BA37" i="76"/>
  <c r="AQ37" i="76"/>
  <c r="P205" i="76"/>
  <c r="AO205" i="76"/>
  <c r="V205" i="76"/>
  <c r="AM132" i="76"/>
  <c r="P132" i="76"/>
  <c r="AQ280" i="76"/>
  <c r="BA280" i="76"/>
  <c r="O277" i="76"/>
  <c r="AM278" i="76"/>
  <c r="BA193" i="76"/>
  <c r="AQ193" i="76"/>
  <c r="AQ29" i="76"/>
  <c r="BA29" i="76"/>
  <c r="O235" i="76"/>
  <c r="N234" i="76"/>
  <c r="X323" i="76"/>
  <c r="AP323" i="76" s="1"/>
  <c r="BA229" i="76"/>
  <c r="AQ229" i="76"/>
  <c r="AQ110" i="76"/>
  <c r="BA110" i="76"/>
  <c r="X94" i="76"/>
  <c r="AP94" i="76" s="1"/>
  <c r="AO152" i="76"/>
  <c r="V152" i="76"/>
  <c r="V141" i="76" s="1"/>
  <c r="U141" i="76"/>
  <c r="O224" i="76"/>
  <c r="AM225" i="76"/>
  <c r="X214" i="76"/>
  <c r="K38" i="26"/>
  <c r="F15" i="58" s="1"/>
  <c r="G15" i="58" s="1"/>
  <c r="BA327" i="76"/>
  <c r="AQ327" i="76"/>
  <c r="X193" i="76"/>
  <c r="AP193" i="76" s="1"/>
  <c r="X204" i="76"/>
  <c r="AP204" i="76" s="1"/>
  <c r="O128" i="76"/>
  <c r="H16" i="66"/>
  <c r="I16" i="66" s="1"/>
  <c r="J16" i="66" s="1"/>
  <c r="J29" i="66" s="1"/>
  <c r="P278" i="76"/>
  <c r="O26" i="76"/>
  <c r="Q26" i="76" s="1"/>
  <c r="O66" i="76"/>
  <c r="Q66" i="76" s="1"/>
  <c r="X37" i="76"/>
  <c r="AP37" i="76" s="1"/>
  <c r="V74" i="76"/>
  <c r="P244" i="76"/>
  <c r="AM244" i="76"/>
  <c r="O339" i="76"/>
  <c r="Q339" i="76" s="1"/>
  <c r="O245" i="76"/>
  <c r="Q245" i="76" s="1"/>
  <c r="K17" i="72"/>
  <c r="X112" i="76"/>
  <c r="AP112" i="76" s="1"/>
  <c r="F22" i="73"/>
  <c r="F30" i="73" s="1"/>
  <c r="P75" i="76"/>
  <c r="J24" i="85"/>
  <c r="H11" i="104" s="1"/>
  <c r="F33" i="65"/>
  <c r="M20" i="74"/>
  <c r="I20" i="74"/>
  <c r="AQ149" i="76"/>
  <c r="BA149" i="76"/>
  <c r="X47" i="76"/>
  <c r="AP47" i="76" s="1"/>
  <c r="G5" i="101"/>
  <c r="BA142" i="76"/>
  <c r="AQ142" i="76"/>
  <c r="AQ35" i="76"/>
  <c r="BA35" i="76"/>
  <c r="BA166" i="76"/>
  <c r="AQ166" i="76"/>
  <c r="AQ153" i="76"/>
  <c r="BA153" i="76"/>
  <c r="BA147" i="76"/>
  <c r="AQ147" i="76"/>
  <c r="AQ47" i="76"/>
  <c r="BA47" i="76"/>
  <c r="Q43" i="76"/>
  <c r="Q33" i="76"/>
  <c r="AQ34" i="76"/>
  <c r="BA34" i="76"/>
  <c r="G14" i="92"/>
  <c r="H14" i="92" s="1"/>
  <c r="D16" i="94" s="1"/>
  <c r="H15" i="88"/>
  <c r="I15" i="88" s="1"/>
  <c r="K15" i="88" s="1"/>
  <c r="I32" i="97"/>
  <c r="H10" i="70"/>
  <c r="H18" i="95" s="1"/>
  <c r="H13" i="70"/>
  <c r="H12" i="70"/>
  <c r="H32" i="70"/>
  <c r="H19" i="70"/>
  <c r="H8" i="70"/>
  <c r="I51" i="63"/>
  <c r="H17" i="70"/>
  <c r="G35" i="58"/>
  <c r="D38" i="70" s="1"/>
  <c r="D60" i="70"/>
  <c r="H14" i="94"/>
  <c r="I17" i="66"/>
  <c r="F22" i="101"/>
  <c r="G22" i="101" s="1"/>
  <c r="G16" i="101"/>
  <c r="F23" i="101"/>
  <c r="G23" i="101" s="1"/>
  <c r="G17" i="101"/>
  <c r="F17" i="107"/>
  <c r="F16" i="107"/>
  <c r="F24" i="101"/>
  <c r="G24" i="101" s="1"/>
  <c r="G18" i="101"/>
  <c r="G27" i="101"/>
  <c r="E60" i="70" s="1"/>
  <c r="F25" i="101"/>
  <c r="G25" i="101" s="1"/>
  <c r="G19" i="101"/>
  <c r="I18" i="88"/>
  <c r="K18" i="88" s="1"/>
  <c r="L14" i="72"/>
  <c r="K12" i="72"/>
  <c r="K11" i="72" s="1"/>
  <c r="L13" i="72"/>
  <c r="H4" i="88"/>
  <c r="I4" i="88" s="1"/>
  <c r="K4" i="88" s="1"/>
  <c r="K3" i="88" s="1"/>
  <c r="F17" i="58"/>
  <c r="K18" i="72"/>
  <c r="H8" i="21"/>
  <c r="I116" i="63"/>
  <c r="I113" i="63" s="1"/>
  <c r="G32" i="70" s="1"/>
  <c r="G124" i="63"/>
  <c r="I124" i="63" s="1"/>
  <c r="I121" i="63" s="1"/>
  <c r="G33" i="70" s="1"/>
  <c r="H33" i="70"/>
  <c r="G31" i="70"/>
  <c r="G6" i="64"/>
  <c r="H6" i="64" s="1"/>
  <c r="K6" i="64" s="1"/>
  <c r="G5" i="64"/>
  <c r="H5" i="64" s="1"/>
  <c r="K5" i="64" s="1"/>
  <c r="I23" i="66"/>
  <c r="H9" i="21"/>
  <c r="X114" i="76"/>
  <c r="AP114" i="76" s="1"/>
  <c r="AQ145" i="76"/>
  <c r="BA145" i="76"/>
  <c r="AQ58" i="76"/>
  <c r="BA58" i="76"/>
  <c r="B151" i="63"/>
  <c r="H57" i="70"/>
  <c r="S64" i="70" s="1"/>
  <c r="AQ75" i="76"/>
  <c r="BA75" i="76"/>
  <c r="V119" i="76"/>
  <c r="X53" i="76"/>
  <c r="Q298" i="76"/>
  <c r="AQ151" i="76"/>
  <c r="BA151" i="76"/>
  <c r="J42" i="58"/>
  <c r="J41" i="58" s="1"/>
  <c r="D45" i="70"/>
  <c r="V203" i="76"/>
  <c r="X319" i="76"/>
  <c r="AP319" i="76" s="1"/>
  <c r="X110" i="76"/>
  <c r="AP110" i="76" s="1"/>
  <c r="AQ55" i="76"/>
  <c r="BA55" i="76"/>
  <c r="AO231" i="76"/>
  <c r="V231" i="76"/>
  <c r="BA22" i="76"/>
  <c r="AQ22" i="76"/>
  <c r="X152" i="76"/>
  <c r="AP152" i="76" s="1"/>
  <c r="AQ146" i="76"/>
  <c r="BA146" i="76"/>
  <c r="Q76" i="76"/>
  <c r="BA57" i="76"/>
  <c r="AQ57" i="76"/>
  <c r="Q337" i="76"/>
  <c r="AQ152" i="76"/>
  <c r="BA152" i="76"/>
  <c r="P227" i="76"/>
  <c r="X227" i="76" s="1"/>
  <c r="AP227" i="76" s="1"/>
  <c r="AO227" i="76"/>
  <c r="AQ54" i="76"/>
  <c r="BA54" i="76"/>
  <c r="Q53" i="76"/>
  <c r="I22" i="73"/>
  <c r="I30" i="73" s="1"/>
  <c r="X326" i="76"/>
  <c r="AP326" i="76" s="1"/>
  <c r="V115" i="76"/>
  <c r="P231" i="76"/>
  <c r="O72" i="76"/>
  <c r="AM75" i="76"/>
  <c r="G48" i="70"/>
  <c r="J85" i="85"/>
  <c r="H24" i="104" s="1"/>
  <c r="J30" i="85"/>
  <c r="H12" i="104" s="1"/>
  <c r="J48" i="85"/>
  <c r="H16" i="104" s="1"/>
  <c r="I5" i="104"/>
  <c r="J42" i="85"/>
  <c r="H15" i="104" s="1"/>
  <c r="J36" i="85"/>
  <c r="H14" i="104" s="1"/>
  <c r="J92" i="85"/>
  <c r="H26" i="104" s="1"/>
  <c r="H25" i="104" s="1"/>
  <c r="I22" i="102"/>
  <c r="K22" i="108"/>
  <c r="K24" i="108" s="1"/>
  <c r="K25" i="108" s="1"/>
  <c r="I30" i="74"/>
  <c r="K30" i="74" s="1"/>
  <c r="I97" i="63"/>
  <c r="I147" i="63"/>
  <c r="G28" i="70"/>
  <c r="I39" i="63"/>
  <c r="I36" i="63" s="1"/>
  <c r="J79" i="85"/>
  <c r="H23" i="104" s="1"/>
  <c r="I84" i="85"/>
  <c r="K84" i="85" s="1"/>
  <c r="I23" i="104" s="1"/>
  <c r="J72" i="85"/>
  <c r="H21" i="104" s="1"/>
  <c r="I77" i="85"/>
  <c r="K77" i="85" s="1"/>
  <c r="I21" i="104" s="1"/>
  <c r="I60" i="85"/>
  <c r="K60" i="85" s="1"/>
  <c r="J55" i="85"/>
  <c r="I13" i="104"/>
  <c r="I8" i="104"/>
  <c r="J18" i="85"/>
  <c r="H10" i="104" s="1"/>
  <c r="H5" i="104"/>
  <c r="I21" i="97"/>
  <c r="I25" i="97"/>
  <c r="H51" i="70" s="1"/>
  <c r="J24" i="108"/>
  <c r="J25" i="108" s="1"/>
  <c r="M9" i="82"/>
  <c r="M8" i="82" s="1"/>
  <c r="N8" i="82" s="1"/>
  <c r="I144" i="63"/>
  <c r="G27" i="70"/>
  <c r="G10" i="70"/>
  <c r="G18" i="95" s="1"/>
  <c r="G19" i="70"/>
  <c r="G14" i="70"/>
  <c r="G13" i="70"/>
  <c r="G9" i="70"/>
  <c r="H49" i="70"/>
  <c r="AQ170" i="76"/>
  <c r="BA170" i="76"/>
  <c r="AO225" i="76"/>
  <c r="U224" i="76"/>
  <c r="I12" i="80"/>
  <c r="G13" i="82"/>
  <c r="I13" i="82" s="1"/>
  <c r="H10" i="80"/>
  <c r="BA103" i="76"/>
  <c r="AQ103" i="76"/>
  <c r="Q101" i="76"/>
  <c r="H30" i="75"/>
  <c r="I11" i="75"/>
  <c r="J11" i="75" s="1"/>
  <c r="J9" i="75"/>
  <c r="O199" i="76"/>
  <c r="AM200" i="76"/>
  <c r="P200" i="76"/>
  <c r="I17" i="73"/>
  <c r="O171" i="76"/>
  <c r="Q171" i="76" s="1"/>
  <c r="D30" i="67"/>
  <c r="D31" i="67"/>
  <c r="E31" i="67" s="1"/>
  <c r="D33" i="67"/>
  <c r="E33" i="67" s="1"/>
  <c r="V108" i="76"/>
  <c r="F17" i="73"/>
  <c r="BA21" i="76"/>
  <c r="AQ21" i="76"/>
  <c r="BA28" i="76"/>
  <c r="AQ28" i="76"/>
  <c r="AQ255" i="76"/>
  <c r="BA255" i="76"/>
  <c r="Q251" i="76"/>
  <c r="AO226" i="76"/>
  <c r="V226" i="76"/>
  <c r="D57" i="70"/>
  <c r="H14" i="70"/>
  <c r="X141" i="76"/>
  <c r="V225" i="76"/>
  <c r="AQ218" i="76"/>
  <c r="BA218" i="76"/>
  <c r="E30" i="75"/>
  <c r="P78" i="76"/>
  <c r="O69" i="76"/>
  <c r="Q69" i="76" s="1"/>
  <c r="N63" i="76"/>
  <c r="P19" i="76"/>
  <c r="X19" i="76" s="1"/>
  <c r="X20" i="76"/>
  <c r="AP20" i="76" s="1"/>
  <c r="E23" i="93"/>
  <c r="F23" i="93" s="1"/>
  <c r="F12" i="94" s="1"/>
  <c r="P250" i="76"/>
  <c r="P8" i="76" s="1"/>
  <c r="U8" i="76"/>
  <c r="V250" i="76"/>
  <c r="V8" i="76" s="1"/>
  <c r="P74" i="76"/>
  <c r="AP124" i="76"/>
  <c r="E24" i="93"/>
  <c r="F24" i="93" s="1"/>
  <c r="F13" i="94" s="1"/>
  <c r="P203" i="76"/>
  <c r="O4" i="74"/>
  <c r="P28" i="76"/>
  <c r="AM28" i="76"/>
  <c r="X150" i="76"/>
  <c r="AP150" i="76" s="1"/>
  <c r="U108" i="76"/>
  <c r="AQ23" i="76"/>
  <c r="BA23" i="76"/>
  <c r="J11" i="80"/>
  <c r="N10" i="80"/>
  <c r="P11" i="80"/>
  <c r="P10" i="80" s="1"/>
  <c r="H53" i="70"/>
  <c r="G59" i="70"/>
  <c r="X218" i="76"/>
  <c r="AP218" i="76" s="1"/>
  <c r="M8" i="76"/>
  <c r="P172" i="76"/>
  <c r="AM172" i="76"/>
  <c r="BA27" i="76"/>
  <c r="AQ27" i="76"/>
  <c r="X185" i="76"/>
  <c r="AP185" i="76" s="1"/>
  <c r="X21" i="76"/>
  <c r="AP21" i="76" s="1"/>
  <c r="AQ150" i="76"/>
  <c r="BA150" i="76"/>
  <c r="U72" i="76"/>
  <c r="AO73" i="76"/>
  <c r="V73" i="76"/>
  <c r="V128" i="76"/>
  <c r="X131" i="76"/>
  <c r="AP131" i="76" s="1"/>
  <c r="G54" i="70"/>
  <c r="E19" i="99"/>
  <c r="P173" i="76"/>
  <c r="AM173" i="76"/>
  <c r="G11" i="75"/>
  <c r="H11" i="75" s="1"/>
  <c r="H9" i="75"/>
  <c r="AP29" i="76"/>
  <c r="P27" i="76"/>
  <c r="AM27" i="76"/>
  <c r="X206" i="76"/>
  <c r="AP206" i="76" s="1"/>
  <c r="H29" i="90"/>
  <c r="I29" i="90" s="1"/>
  <c r="X23" i="76"/>
  <c r="AP23" i="76" s="1"/>
  <c r="I14" i="97"/>
  <c r="G10" i="91"/>
  <c r="H10" i="91" s="1"/>
  <c r="G7" i="91"/>
  <c r="H7" i="91" s="1"/>
  <c r="E30" i="91"/>
  <c r="G5" i="91"/>
  <c r="H5" i="91" s="1"/>
  <c r="G6" i="91"/>
  <c r="H6" i="91" s="1"/>
  <c r="E28" i="91"/>
  <c r="G9" i="91"/>
  <c r="G8" i="91"/>
  <c r="H8" i="91" s="1"/>
  <c r="E17" i="91"/>
  <c r="E29" i="91"/>
  <c r="E15" i="91"/>
  <c r="E25" i="91"/>
  <c r="E23" i="91"/>
  <c r="E26" i="91"/>
  <c r="E18" i="91"/>
  <c r="E28" i="93"/>
  <c r="F28" i="93" s="1"/>
  <c r="F17" i="94" s="1"/>
  <c r="E30" i="93"/>
  <c r="F30" i="93" s="1"/>
  <c r="F19" i="94" s="1"/>
  <c r="E25" i="93"/>
  <c r="F25" i="93" s="1"/>
  <c r="F14" i="94" s="1"/>
  <c r="E20" i="93"/>
  <c r="F20" i="93" s="1"/>
  <c r="E32" i="93"/>
  <c r="F32" i="93" s="1"/>
  <c r="F21" i="94" s="1"/>
  <c r="E17" i="93"/>
  <c r="E31" i="93"/>
  <c r="F31" i="93" s="1"/>
  <c r="F20" i="94" s="1"/>
  <c r="E27" i="93"/>
  <c r="F27" i="93" s="1"/>
  <c r="F16" i="94" s="1"/>
  <c r="E19" i="93"/>
  <c r="F19" i="93" s="1"/>
  <c r="F8" i="94" s="1"/>
  <c r="E29" i="62"/>
  <c r="F19" i="70" s="1"/>
  <c r="AO76" i="76"/>
  <c r="V76" i="76"/>
  <c r="X76" i="76" s="1"/>
  <c r="AP76" i="76" s="1"/>
  <c r="V63" i="76"/>
  <c r="X65" i="76"/>
  <c r="AP65" i="76" s="1"/>
  <c r="X155" i="76"/>
  <c r="P225" i="76"/>
  <c r="V78" i="76"/>
  <c r="Q172" i="76"/>
  <c r="Q19" i="76"/>
  <c r="BA20" i="76"/>
  <c r="AQ20" i="76"/>
  <c r="E34" i="93"/>
  <c r="F34" i="93" s="1"/>
  <c r="F23" i="94" s="1"/>
  <c r="G57" i="70"/>
  <c r="P115" i="76"/>
  <c r="X115" i="76" s="1"/>
  <c r="X34" i="76"/>
  <c r="AP34" i="76" s="1"/>
  <c r="V33" i="76"/>
  <c r="X33" i="76" s="1"/>
  <c r="Q141" i="76"/>
  <c r="BA129" i="76"/>
  <c r="AQ129" i="76"/>
  <c r="Q128" i="76"/>
  <c r="E22" i="91"/>
  <c r="P119" i="76"/>
  <c r="H22" i="74"/>
  <c r="I22" i="74" s="1"/>
  <c r="K22" i="74" s="1"/>
  <c r="L22" i="74"/>
  <c r="M22" i="74" s="1"/>
  <c r="O22" i="74" s="1"/>
  <c r="O18" i="74" s="1"/>
  <c r="O31" i="74" s="1"/>
  <c r="E32" i="91"/>
  <c r="O251" i="76"/>
  <c r="P255" i="76"/>
  <c r="AM255" i="76"/>
  <c r="P226" i="76"/>
  <c r="P73" i="76"/>
  <c r="K4" i="74"/>
  <c r="BA162" i="76"/>
  <c r="AQ162" i="76"/>
  <c r="Q155" i="76"/>
  <c r="E16" i="91"/>
  <c r="K50" i="90"/>
  <c r="H19" i="94"/>
  <c r="N140" i="76"/>
  <c r="X43" i="76"/>
  <c r="Q173" i="76"/>
  <c r="Q200" i="76"/>
  <c r="P170" i="76"/>
  <c r="AM170" i="76"/>
  <c r="K10" i="72"/>
  <c r="L16" i="72"/>
  <c r="L15" i="72" s="1"/>
  <c r="F18" i="84"/>
  <c r="G30" i="84"/>
  <c r="G19" i="104" s="1"/>
  <c r="F35" i="84"/>
  <c r="G37" i="84"/>
  <c r="G26" i="104" s="1"/>
  <c r="G25" i="104" s="1"/>
  <c r="D27" i="104"/>
  <c r="I70" i="85"/>
  <c r="I69" i="85"/>
  <c r="F31" i="84"/>
  <c r="G20" i="84"/>
  <c r="G9" i="104" s="1"/>
  <c r="G25" i="84"/>
  <c r="G14" i="104" s="1"/>
  <c r="G23" i="84"/>
  <c r="H23" i="84" s="1"/>
  <c r="G14" i="87" s="1"/>
  <c r="F22" i="84"/>
  <c r="F27" i="84"/>
  <c r="F34" i="84"/>
  <c r="F17" i="84"/>
  <c r="I10" i="86"/>
  <c r="F26" i="84"/>
  <c r="G21" i="84"/>
  <c r="H21" i="84" s="1"/>
  <c r="G12" i="87" s="1"/>
  <c r="G32" i="84"/>
  <c r="G21" i="104" s="1"/>
  <c r="I7" i="86"/>
  <c r="I8" i="86"/>
  <c r="I90" i="85"/>
  <c r="K90" i="85" s="1"/>
  <c r="I24" i="104" s="1"/>
  <c r="I5" i="86"/>
  <c r="I6" i="86"/>
  <c r="H39" i="70"/>
  <c r="H46" i="78"/>
  <c r="I46" i="78" s="1"/>
  <c r="K46" i="78" s="1"/>
  <c r="H20" i="70"/>
  <c r="H21" i="95" s="1"/>
  <c r="H42" i="78"/>
  <c r="I42" i="78" s="1"/>
  <c r="K42" i="78" s="1"/>
  <c r="H18" i="70"/>
  <c r="E53" i="62"/>
  <c r="F43" i="70" s="1"/>
  <c r="F23" i="95" s="1"/>
  <c r="H50" i="78"/>
  <c r="I50" i="78" s="1"/>
  <c r="K50" i="78" s="1"/>
  <c r="H30" i="70"/>
  <c r="E19" i="62"/>
  <c r="H8" i="78"/>
  <c r="I8" i="78" s="1"/>
  <c r="K8" i="78" s="1"/>
  <c r="I5" i="78"/>
  <c r="J5" i="78" s="1"/>
  <c r="G45" i="70"/>
  <c r="H45" i="70"/>
  <c r="K95" i="85"/>
  <c r="N9" i="82"/>
  <c r="G3" i="64"/>
  <c r="H3" i="64" s="1"/>
  <c r="K3" i="64" s="1"/>
  <c r="F39" i="58"/>
  <c r="G4" i="64"/>
  <c r="H4" i="64" s="1"/>
  <c r="K4" i="64" s="1"/>
  <c r="H22" i="88"/>
  <c r="I22" i="88" s="1"/>
  <c r="K22" i="88" s="1"/>
  <c r="L8" i="72"/>
  <c r="K8" i="72"/>
  <c r="K9" i="72"/>
  <c r="L9" i="72"/>
  <c r="J6" i="58"/>
  <c r="D9" i="70"/>
  <c r="D6" i="94"/>
  <c r="H3" i="92"/>
  <c r="F14" i="58" l="1"/>
  <c r="F9" i="58"/>
  <c r="G9" i="58" s="1"/>
  <c r="F7" i="98"/>
  <c r="G7" i="98" s="1"/>
  <c r="D50" i="70" s="1"/>
  <c r="F6" i="100"/>
  <c r="G6" i="100" s="1"/>
  <c r="G19" i="92"/>
  <c r="H19" i="92" s="1"/>
  <c r="D21" i="94" s="1"/>
  <c r="H13" i="88"/>
  <c r="I13" i="88" s="1"/>
  <c r="K13" i="88" s="1"/>
  <c r="F7" i="100"/>
  <c r="G7" i="100" s="1"/>
  <c r="D59" i="70" s="1"/>
  <c r="G15" i="92"/>
  <c r="H15" i="92" s="1"/>
  <c r="D17" i="94" s="1"/>
  <c r="G18" i="92"/>
  <c r="H18" i="92" s="1"/>
  <c r="D20" i="94" s="1"/>
  <c r="X75" i="76"/>
  <c r="AP75" i="76" s="1"/>
  <c r="D18" i="70"/>
  <c r="J15" i="58"/>
  <c r="M16" i="74"/>
  <c r="M14" i="74" s="1"/>
  <c r="I16" i="74"/>
  <c r="I14" i="74" s="1"/>
  <c r="G21" i="74"/>
  <c r="C20" i="77"/>
  <c r="H19" i="78"/>
  <c r="D18" i="79"/>
  <c r="J18" i="79" s="1"/>
  <c r="G58" i="70"/>
  <c r="F11" i="58"/>
  <c r="G11" i="58" s="1"/>
  <c r="D14" i="70" s="1"/>
  <c r="H8" i="106"/>
  <c r="I8" i="106" s="1"/>
  <c r="K8" i="106" s="1"/>
  <c r="K7" i="106" s="1"/>
  <c r="G10" i="92"/>
  <c r="H10" i="92" s="1"/>
  <c r="D12" i="94" s="1"/>
  <c r="H23" i="78"/>
  <c r="C21" i="77"/>
  <c r="D19" i="79"/>
  <c r="H31" i="78"/>
  <c r="D21" i="79"/>
  <c r="J21" i="79" s="1"/>
  <c r="C23" i="77"/>
  <c r="D41" i="70"/>
  <c r="R56" i="70"/>
  <c r="H6" i="106"/>
  <c r="I6" i="106" s="1"/>
  <c r="K6" i="106" s="1"/>
  <c r="E30" i="88"/>
  <c r="E31" i="88" s="1"/>
  <c r="G11" i="92"/>
  <c r="H11" i="92" s="1"/>
  <c r="D13" i="94" s="1"/>
  <c r="F25" i="58"/>
  <c r="G25" i="58" s="1"/>
  <c r="J25" i="58" s="1"/>
  <c r="H17" i="88"/>
  <c r="I17" i="88" s="1"/>
  <c r="K17" i="88" s="1"/>
  <c r="K16" i="88" s="1"/>
  <c r="X205" i="76"/>
  <c r="AP205" i="76" s="1"/>
  <c r="P189" i="76"/>
  <c r="X189" i="76" s="1"/>
  <c r="I25" i="74"/>
  <c r="I23" i="74" s="1"/>
  <c r="J23" i="74" s="1"/>
  <c r="G29" i="74"/>
  <c r="M25" i="74"/>
  <c r="M23" i="74" s="1"/>
  <c r="N23" i="74" s="1"/>
  <c r="H35" i="78"/>
  <c r="D22" i="79"/>
  <c r="J22" i="79" s="1"/>
  <c r="C24" i="77"/>
  <c r="C18" i="77"/>
  <c r="H11" i="78"/>
  <c r="D16" i="79"/>
  <c r="H15" i="78"/>
  <c r="D17" i="79"/>
  <c r="C19" i="77"/>
  <c r="F16" i="58"/>
  <c r="G16" i="58" s="1"/>
  <c r="G7" i="92"/>
  <c r="H7" i="92" s="1"/>
  <c r="D9" i="94" s="1"/>
  <c r="F27" i="58"/>
  <c r="G27" i="58" s="1"/>
  <c r="D30" i="70" s="1"/>
  <c r="K18" i="74"/>
  <c r="K31" i="74" s="1"/>
  <c r="F10" i="98"/>
  <c r="G10" i="98" s="1"/>
  <c r="D53" i="70" s="1"/>
  <c r="H14" i="88"/>
  <c r="I14" i="88" s="1"/>
  <c r="K14" i="88" s="1"/>
  <c r="K11" i="88" s="1"/>
  <c r="F21" i="58"/>
  <c r="G21" i="58" s="1"/>
  <c r="D24" i="70" s="1"/>
  <c r="D20" i="79"/>
  <c r="C22" i="77"/>
  <c r="H27" i="78"/>
  <c r="X113" i="76"/>
  <c r="AP113" i="76" s="1"/>
  <c r="AQ279" i="76"/>
  <c r="BA279" i="76"/>
  <c r="Q277" i="76"/>
  <c r="F9" i="70"/>
  <c r="K15" i="72"/>
  <c r="P178" i="76"/>
  <c r="X178" i="76" s="1"/>
  <c r="G13" i="101"/>
  <c r="E58" i="70" s="1"/>
  <c r="X259" i="76"/>
  <c r="AP259" i="76" s="1"/>
  <c r="AQ192" i="76"/>
  <c r="BA192" i="76"/>
  <c r="Q189" i="76"/>
  <c r="AM279" i="76"/>
  <c r="P279" i="76"/>
  <c r="X279" i="76" s="1"/>
  <c r="AP279" i="76" s="1"/>
  <c r="X328" i="76"/>
  <c r="AP328" i="76" s="1"/>
  <c r="H13" i="92"/>
  <c r="X203" i="76"/>
  <c r="AP203" i="76" s="1"/>
  <c r="H4" i="21"/>
  <c r="I29" i="66"/>
  <c r="E57" i="70"/>
  <c r="AQ66" i="76"/>
  <c r="BA66" i="76"/>
  <c r="BA245" i="76"/>
  <c r="AQ245" i="76"/>
  <c r="Q243" i="76"/>
  <c r="BA26" i="76"/>
  <c r="AQ26" i="76"/>
  <c r="Q25" i="76"/>
  <c r="AQ339" i="76"/>
  <c r="BA339" i="76"/>
  <c r="O169" i="76"/>
  <c r="AM235" i="76"/>
  <c r="O234" i="76"/>
  <c r="P235" i="76"/>
  <c r="P92" i="76"/>
  <c r="X92" i="76" s="1"/>
  <c r="X93" i="76"/>
  <c r="AP93" i="76" s="1"/>
  <c r="AM331" i="76"/>
  <c r="P331" i="76"/>
  <c r="AM339" i="76"/>
  <c r="P339" i="76"/>
  <c r="AM66" i="76"/>
  <c r="P66" i="76"/>
  <c r="X66" i="76" s="1"/>
  <c r="AP66" i="76" s="1"/>
  <c r="P128" i="76"/>
  <c r="X128" i="76" s="1"/>
  <c r="X132" i="76"/>
  <c r="AP132" i="76" s="1"/>
  <c r="O25" i="76"/>
  <c r="O243" i="76"/>
  <c r="AM26" i="76"/>
  <c r="P26" i="76"/>
  <c r="P25" i="76" s="1"/>
  <c r="X25" i="76" s="1"/>
  <c r="V199" i="76"/>
  <c r="X244" i="76"/>
  <c r="AP244" i="76" s="1"/>
  <c r="X278" i="76"/>
  <c r="AP278" i="76" s="1"/>
  <c r="P277" i="76"/>
  <c r="L11" i="72"/>
  <c r="F8" i="98"/>
  <c r="G8" i="98" s="1"/>
  <c r="D51" i="70" s="1"/>
  <c r="F19" i="58"/>
  <c r="G19" i="58" s="1"/>
  <c r="F7" i="58"/>
  <c r="G7" i="58" s="1"/>
  <c r="D10" i="70" s="1"/>
  <c r="D18" i="95" s="1"/>
  <c r="F5" i="98"/>
  <c r="F32" i="58"/>
  <c r="G32" i="58" s="1"/>
  <c r="H7" i="88"/>
  <c r="I7" i="88" s="1"/>
  <c r="F24" i="58"/>
  <c r="G24" i="58" s="1"/>
  <c r="H5" i="106"/>
  <c r="I5" i="106" s="1"/>
  <c r="K5" i="106" s="1"/>
  <c r="F22" i="58"/>
  <c r="G22" i="58" s="1"/>
  <c r="G12" i="92"/>
  <c r="H12" i="92" s="1"/>
  <c r="D14" i="94" s="1"/>
  <c r="F10" i="58"/>
  <c r="G10" i="58" s="1"/>
  <c r="F11" i="98"/>
  <c r="G11" i="98" s="1"/>
  <c r="D54" i="70" s="1"/>
  <c r="F40" i="58"/>
  <c r="G40" i="58" s="1"/>
  <c r="F6" i="98"/>
  <c r="G6" i="98" s="1"/>
  <c r="F20" i="58"/>
  <c r="G20" i="58" s="1"/>
  <c r="G17" i="92"/>
  <c r="H17" i="92" s="1"/>
  <c r="F33" i="58"/>
  <c r="G33" i="58" s="1"/>
  <c r="Q235" i="76"/>
  <c r="AM245" i="76"/>
  <c r="P245" i="76"/>
  <c r="P243" i="76" s="1"/>
  <c r="X243" i="76" s="1"/>
  <c r="AQ331" i="76"/>
  <c r="BA331" i="76"/>
  <c r="J7" i="58"/>
  <c r="J5" i="58"/>
  <c r="J4" i="58" s="1"/>
  <c r="D28" i="70"/>
  <c r="G24" i="95"/>
  <c r="G20" i="95"/>
  <c r="F20" i="107"/>
  <c r="H20" i="107" s="1"/>
  <c r="K12" i="106" s="1"/>
  <c r="G38" i="70"/>
  <c r="G30" i="70"/>
  <c r="J35" i="58"/>
  <c r="J34" i="58" s="1"/>
  <c r="G17" i="58"/>
  <c r="D20" i="70" s="1"/>
  <c r="D21" i="95" s="1"/>
  <c r="D39" i="70"/>
  <c r="D22" i="95" s="1"/>
  <c r="G14" i="58"/>
  <c r="D17" i="70" s="1"/>
  <c r="G39" i="58"/>
  <c r="J39" i="58" s="1"/>
  <c r="K39" i="58" s="1"/>
  <c r="G21" i="101"/>
  <c r="E59" i="70" s="1"/>
  <c r="H7" i="96"/>
  <c r="H20" i="95"/>
  <c r="H10" i="96"/>
  <c r="H8" i="96"/>
  <c r="D24" i="95"/>
  <c r="H24" i="95"/>
  <c r="H38" i="70"/>
  <c r="H22" i="95" s="1"/>
  <c r="F14" i="70"/>
  <c r="H4" i="75"/>
  <c r="F19" i="75" s="1"/>
  <c r="I9" i="86"/>
  <c r="I11" i="86"/>
  <c r="E22" i="62"/>
  <c r="F12" i="70" s="1"/>
  <c r="E33" i="62"/>
  <c r="F23" i="70" s="1"/>
  <c r="E28" i="62"/>
  <c r="F18" i="70" s="1"/>
  <c r="E20" i="62"/>
  <c r="X226" i="76"/>
  <c r="Q169" i="76"/>
  <c r="E52" i="62"/>
  <c r="F42" i="70" s="1"/>
  <c r="E46" i="62"/>
  <c r="F36" i="70" s="1"/>
  <c r="E45" i="62"/>
  <c r="F35" i="70" s="1"/>
  <c r="E27" i="62"/>
  <c r="F17" i="70" s="1"/>
  <c r="E23" i="62"/>
  <c r="F13" i="70" s="1"/>
  <c r="E34" i="62"/>
  <c r="F24" i="70" s="1"/>
  <c r="E40" i="62"/>
  <c r="F30" i="70" s="1"/>
  <c r="E35" i="62"/>
  <c r="F25" i="70" s="1"/>
  <c r="E32" i="62"/>
  <c r="F22" i="70" s="1"/>
  <c r="E48" i="62"/>
  <c r="F38" i="70" s="1"/>
  <c r="K11" i="106"/>
  <c r="H7" i="64"/>
  <c r="K7" i="64" s="1"/>
  <c r="J4" i="75"/>
  <c r="I19" i="75" s="1"/>
  <c r="X231" i="76"/>
  <c r="AP231" i="76" s="1"/>
  <c r="X119" i="76"/>
  <c r="AQ76" i="76"/>
  <c r="BA76" i="76"/>
  <c r="P108" i="76"/>
  <c r="X108" i="76" s="1"/>
  <c r="Q72" i="76"/>
  <c r="H13" i="104"/>
  <c r="G60" i="70"/>
  <c r="S63" i="70" s="1"/>
  <c r="J68" i="85"/>
  <c r="H20" i="104" s="1"/>
  <c r="H18" i="104" s="1"/>
  <c r="H8" i="104"/>
  <c r="G51" i="70"/>
  <c r="G18" i="70"/>
  <c r="G20" i="70"/>
  <c r="G21" i="95" s="1"/>
  <c r="G17" i="70"/>
  <c r="Q140" i="76"/>
  <c r="Q8" i="76" s="1"/>
  <c r="N8" i="76"/>
  <c r="F49" i="70"/>
  <c r="Q63" i="76"/>
  <c r="BA69" i="76"/>
  <c r="AQ69" i="76"/>
  <c r="V224" i="76"/>
  <c r="X225" i="76"/>
  <c r="AP225" i="76" s="1"/>
  <c r="E20" i="99"/>
  <c r="F50" i="70" s="1"/>
  <c r="E30" i="67"/>
  <c r="E34" i="67" s="1"/>
  <c r="D34" i="67"/>
  <c r="P199" i="76"/>
  <c r="X199" i="76" s="1"/>
  <c r="X200" i="76"/>
  <c r="AP200" i="76" s="1"/>
  <c r="I22" i="104"/>
  <c r="Q199" i="76"/>
  <c r="AQ200" i="76"/>
  <c r="BA200" i="76"/>
  <c r="P72" i="76"/>
  <c r="X255" i="76"/>
  <c r="AP255" i="76" s="1"/>
  <c r="P251" i="76"/>
  <c r="X251" i="76" s="1"/>
  <c r="X78" i="76"/>
  <c r="AP78" i="76" s="1"/>
  <c r="M20" i="93"/>
  <c r="F9" i="94"/>
  <c r="E33" i="91"/>
  <c r="G11" i="91"/>
  <c r="H11" i="91" s="1"/>
  <c r="H9" i="91"/>
  <c r="X27" i="76"/>
  <c r="AP27" i="76" s="1"/>
  <c r="X172" i="76"/>
  <c r="AP172" i="76" s="1"/>
  <c r="X28" i="76"/>
  <c r="AP28" i="76" s="1"/>
  <c r="O63" i="76"/>
  <c r="P69" i="76"/>
  <c r="AM69" i="76"/>
  <c r="E24" i="99"/>
  <c r="F54" i="70" s="1"/>
  <c r="P171" i="76"/>
  <c r="P169" i="76" s="1"/>
  <c r="X169" i="76" s="1"/>
  <c r="AM171" i="76"/>
  <c r="D13" i="81"/>
  <c r="D27" i="81"/>
  <c r="G12" i="82"/>
  <c r="I12" i="82" s="1"/>
  <c r="I11" i="82" s="1"/>
  <c r="D24" i="81"/>
  <c r="D25" i="81" s="1"/>
  <c r="I71" i="85"/>
  <c r="K71" i="85" s="1"/>
  <c r="I20" i="104" s="1"/>
  <c r="I18" i="104" s="1"/>
  <c r="BA173" i="76"/>
  <c r="AQ173" i="76"/>
  <c r="AP226" i="76"/>
  <c r="BA172" i="76"/>
  <c r="AQ172" i="76"/>
  <c r="P224" i="76"/>
  <c r="E21" i="99"/>
  <c r="F51" i="70" s="1"/>
  <c r="K29" i="90"/>
  <c r="H13" i="94"/>
  <c r="X173" i="76"/>
  <c r="AP173" i="76" s="1"/>
  <c r="V72" i="76"/>
  <c r="X73" i="76"/>
  <c r="AP73" i="76" s="1"/>
  <c r="I11" i="80"/>
  <c r="I10" i="80" s="1"/>
  <c r="J10" i="80"/>
  <c r="G49" i="70"/>
  <c r="E23" i="99"/>
  <c r="F53" i="70" s="1"/>
  <c r="X74" i="76"/>
  <c r="AP74" i="76" s="1"/>
  <c r="BA171" i="76"/>
  <c r="AQ171" i="76"/>
  <c r="E49" i="62"/>
  <c r="F39" i="70" s="1"/>
  <c r="E38" i="62"/>
  <c r="F28" i="70" s="1"/>
  <c r="X170" i="76"/>
  <c r="AP170" i="76" s="1"/>
  <c r="AP115" i="76"/>
  <c r="F17" i="93"/>
  <c r="F6" i="94" s="1"/>
  <c r="E35" i="93"/>
  <c r="H11" i="96"/>
  <c r="H9" i="96"/>
  <c r="K13" i="82"/>
  <c r="J13" i="82"/>
  <c r="G18" i="84"/>
  <c r="G7" i="104" s="1"/>
  <c r="F20" i="84"/>
  <c r="E37" i="62"/>
  <c r="F27" i="70" s="1"/>
  <c r="F37" i="84"/>
  <c r="G31" i="84"/>
  <c r="G20" i="104" s="1"/>
  <c r="G18" i="104" s="1"/>
  <c r="F30" i="84"/>
  <c r="E51" i="62"/>
  <c r="F41" i="70" s="1"/>
  <c r="E55" i="62"/>
  <c r="F45" i="70" s="1"/>
  <c r="E30" i="62"/>
  <c r="F20" i="70" s="1"/>
  <c r="F21" i="95" s="1"/>
  <c r="G12" i="104"/>
  <c r="G27" i="84"/>
  <c r="G16" i="104" s="1"/>
  <c r="F25" i="84"/>
  <c r="G34" i="84"/>
  <c r="G23" i="104" s="1"/>
  <c r="G22" i="104" s="1"/>
  <c r="G22" i="84"/>
  <c r="H22" i="84" s="1"/>
  <c r="G13" i="87" s="1"/>
  <c r="G26" i="84"/>
  <c r="G15" i="104" s="1"/>
  <c r="G17" i="84"/>
  <c r="F23" i="84"/>
  <c r="G10" i="104"/>
  <c r="F21" i="84"/>
  <c r="F32" i="84"/>
  <c r="H22" i="104"/>
  <c r="G28" i="84"/>
  <c r="G17" i="104" s="1"/>
  <c r="F28" i="84"/>
  <c r="E38" i="84"/>
  <c r="E36" i="86"/>
  <c r="K20" i="88"/>
  <c r="K31" i="88" s="1"/>
  <c r="I79" i="63"/>
  <c r="H24" i="70" s="1"/>
  <c r="I26" i="104"/>
  <c r="I25" i="104" s="1"/>
  <c r="K7" i="72"/>
  <c r="K6" i="72" s="1"/>
  <c r="L7" i="72"/>
  <c r="J9" i="58" l="1"/>
  <c r="D12" i="70"/>
  <c r="D58" i="70"/>
  <c r="S59" i="70" s="1"/>
  <c r="G18" i="100"/>
  <c r="C30" i="77"/>
  <c r="D23" i="77"/>
  <c r="E23" i="77" s="1"/>
  <c r="D21" i="77"/>
  <c r="E21" i="77" s="1"/>
  <c r="D24" i="77"/>
  <c r="E24" i="77" s="1"/>
  <c r="D19" i="77"/>
  <c r="E19" i="77" s="1"/>
  <c r="J21" i="58"/>
  <c r="N14" i="74"/>
  <c r="N4" i="74" s="1"/>
  <c r="M4" i="74"/>
  <c r="D20" i="77"/>
  <c r="E20" i="77" s="1"/>
  <c r="D28" i="77"/>
  <c r="E28" i="77" s="1"/>
  <c r="H16" i="78"/>
  <c r="I16" i="78" s="1"/>
  <c r="I15" i="78"/>
  <c r="M29" i="74"/>
  <c r="M27" i="74" s="1"/>
  <c r="N27" i="74" s="1"/>
  <c r="I29" i="74"/>
  <c r="I27" i="74" s="1"/>
  <c r="J27" i="74" s="1"/>
  <c r="I23" i="78"/>
  <c r="H24" i="78"/>
  <c r="D27" i="77"/>
  <c r="E27" i="77" s="1"/>
  <c r="D22" i="77"/>
  <c r="E22" i="77" s="1"/>
  <c r="J27" i="58"/>
  <c r="F28" i="58"/>
  <c r="G28" i="58" s="1"/>
  <c r="D31" i="70" s="1"/>
  <c r="H28" i="78"/>
  <c r="I28" i="78" s="1"/>
  <c r="I27" i="78"/>
  <c r="J16" i="58"/>
  <c r="D19" i="70"/>
  <c r="D28" i="79"/>
  <c r="E20" i="79" s="1"/>
  <c r="I31" i="78"/>
  <c r="H32" i="78"/>
  <c r="I32" i="78" s="1"/>
  <c r="I21" i="74"/>
  <c r="I19" i="74" s="1"/>
  <c r="M21" i="74"/>
  <c r="M19" i="74" s="1"/>
  <c r="N19" i="74" s="1"/>
  <c r="R55" i="70"/>
  <c r="H20" i="78"/>
  <c r="I19" i="78"/>
  <c r="D29" i="77"/>
  <c r="E29" i="77" s="1"/>
  <c r="D16" i="77"/>
  <c r="E16" i="77" s="1"/>
  <c r="E30" i="77" s="1"/>
  <c r="H8" i="92"/>
  <c r="K4" i="106"/>
  <c r="K3" i="106" s="1"/>
  <c r="K9" i="106" s="1"/>
  <c r="H12" i="78"/>
  <c r="I11" i="78"/>
  <c r="H36" i="78"/>
  <c r="I36" i="78" s="1"/>
  <c r="I35" i="78"/>
  <c r="J14" i="74"/>
  <c r="J4" i="74" s="1"/>
  <c r="I4" i="74"/>
  <c r="H4" i="96"/>
  <c r="L6" i="72"/>
  <c r="M18" i="74"/>
  <c r="I23" i="99"/>
  <c r="G5" i="98"/>
  <c r="R11" i="98" s="1"/>
  <c r="I11" i="101"/>
  <c r="S60" i="70"/>
  <c r="L15" i="106"/>
  <c r="D36" i="70"/>
  <c r="J33" i="58"/>
  <c r="H16" i="92"/>
  <c r="D19" i="94"/>
  <c r="J22" i="58"/>
  <c r="D25" i="70"/>
  <c r="K20" i="58"/>
  <c r="J20" i="58"/>
  <c r="D23" i="70"/>
  <c r="J24" i="58"/>
  <c r="D27" i="70"/>
  <c r="AP26" i="76"/>
  <c r="X26" i="76"/>
  <c r="X339" i="76"/>
  <c r="AP339" i="76" s="1"/>
  <c r="E15" i="21"/>
  <c r="E16" i="21"/>
  <c r="D49" i="70"/>
  <c r="D20" i="95"/>
  <c r="K7" i="88"/>
  <c r="K6" i="88" s="1"/>
  <c r="K25" i="88" s="1"/>
  <c r="I6" i="88"/>
  <c r="P234" i="76"/>
  <c r="X234" i="76" s="1"/>
  <c r="X235" i="76"/>
  <c r="AP235" i="76" s="1"/>
  <c r="D35" i="70"/>
  <c r="J32" i="58"/>
  <c r="J14" i="58"/>
  <c r="X245" i="76"/>
  <c r="AP245" i="76" s="1"/>
  <c r="D43" i="70"/>
  <c r="D23" i="95" s="1"/>
  <c r="J40" i="58"/>
  <c r="J37" i="58" s="1"/>
  <c r="J10" i="58"/>
  <c r="D13" i="70"/>
  <c r="X331" i="76"/>
  <c r="AP331" i="76" s="1"/>
  <c r="BA235" i="76"/>
  <c r="AQ235" i="76"/>
  <c r="Q234" i="76"/>
  <c r="J19" i="58"/>
  <c r="D22" i="70"/>
  <c r="F10" i="70"/>
  <c r="F18" i="95" s="1"/>
  <c r="F24" i="95"/>
  <c r="E21" i="21"/>
  <c r="E14" i="70" s="1"/>
  <c r="I14" i="70" s="1"/>
  <c r="J14" i="70" s="1"/>
  <c r="K14" i="70" s="1"/>
  <c r="J11" i="58"/>
  <c r="J17" i="58"/>
  <c r="J12" i="58" s="1"/>
  <c r="D42" i="70"/>
  <c r="E48" i="21"/>
  <c r="E41" i="70" s="1"/>
  <c r="E17" i="21"/>
  <c r="E37" i="21"/>
  <c r="E35" i="21"/>
  <c r="E27" i="21"/>
  <c r="E38" i="21"/>
  <c r="E31" i="70" s="1"/>
  <c r="E52" i="21"/>
  <c r="E24" i="21"/>
  <c r="E17" i="70" s="1"/>
  <c r="E45" i="21"/>
  <c r="E38" i="70" s="1"/>
  <c r="I38" i="70" s="1"/>
  <c r="E50" i="21"/>
  <c r="E39" i="21"/>
  <c r="E32" i="70" s="1"/>
  <c r="E26" i="21"/>
  <c r="E34" i="21"/>
  <c r="E19" i="21"/>
  <c r="E12" i="70" s="1"/>
  <c r="I12" i="70" s="1"/>
  <c r="E43" i="21"/>
  <c r="E32" i="21"/>
  <c r="E25" i="70" s="1"/>
  <c r="E46" i="21"/>
  <c r="E42" i="21"/>
  <c r="E20" i="21"/>
  <c r="E49" i="21"/>
  <c r="E25" i="21"/>
  <c r="E18" i="70" s="1"/>
  <c r="I18" i="70" s="1"/>
  <c r="E29" i="21"/>
  <c r="E22" i="70" s="1"/>
  <c r="F23" i="75"/>
  <c r="F28" i="75"/>
  <c r="E16" i="96"/>
  <c r="F29" i="75"/>
  <c r="F26" i="75"/>
  <c r="F24" i="75"/>
  <c r="E30" i="21"/>
  <c r="E23" i="70" s="1"/>
  <c r="F25" i="75"/>
  <c r="E40" i="21"/>
  <c r="E33" i="70" s="1"/>
  <c r="E31" i="21"/>
  <c r="E24" i="70" s="1"/>
  <c r="F17" i="75"/>
  <c r="F18" i="75"/>
  <c r="F27" i="75"/>
  <c r="F22" i="95"/>
  <c r="F20" i="95"/>
  <c r="D70" i="63"/>
  <c r="I65" i="63"/>
  <c r="E20" i="95"/>
  <c r="E41" i="62"/>
  <c r="F31" i="70" s="1"/>
  <c r="F38" i="84"/>
  <c r="G6" i="104"/>
  <c r="G5" i="104" s="1"/>
  <c r="G38" i="84"/>
  <c r="G40" i="84" s="1"/>
  <c r="K26" i="88" s="1"/>
  <c r="L26" i="88" s="1"/>
  <c r="I4" i="86"/>
  <c r="F30" i="86" s="1"/>
  <c r="F21" i="104" s="1"/>
  <c r="J21" i="104" s="1"/>
  <c r="K21" i="104" s="1"/>
  <c r="L21" i="104" s="1"/>
  <c r="M21" i="104" s="1"/>
  <c r="I18" i="75"/>
  <c r="I26" i="75"/>
  <c r="I29" i="75"/>
  <c r="I27" i="75"/>
  <c r="I24" i="75"/>
  <c r="I23" i="75"/>
  <c r="I25" i="75"/>
  <c r="I28" i="75"/>
  <c r="I17" i="75"/>
  <c r="I16" i="75" s="1"/>
  <c r="H4" i="91"/>
  <c r="F17" i="91" s="1"/>
  <c r="E8" i="94" s="1"/>
  <c r="I8" i="94" s="1"/>
  <c r="J8" i="94" s="1"/>
  <c r="K8" i="94" s="1"/>
  <c r="L8" i="94" s="1"/>
  <c r="K96" i="85"/>
  <c r="K97" i="85" s="1"/>
  <c r="I97" i="85"/>
  <c r="H27" i="104"/>
  <c r="K13" i="106"/>
  <c r="F48" i="70"/>
  <c r="R54" i="70" s="1"/>
  <c r="I27" i="104"/>
  <c r="L13" i="82"/>
  <c r="X72" i="76"/>
  <c r="J11" i="82"/>
  <c r="K11" i="82"/>
  <c r="K19" i="82" s="1"/>
  <c r="I19" i="82"/>
  <c r="X171" i="76"/>
  <c r="AP171" i="76" s="1"/>
  <c r="X224" i="76"/>
  <c r="J96" i="85"/>
  <c r="X69" i="76"/>
  <c r="AP69" i="76" s="1"/>
  <c r="P63" i="76"/>
  <c r="X63" i="76" s="1"/>
  <c r="H18" i="84"/>
  <c r="G7" i="87" s="1"/>
  <c r="G13" i="104"/>
  <c r="G11" i="104"/>
  <c r="G8" i="104" s="1"/>
  <c r="H17" i="84"/>
  <c r="K51" i="78"/>
  <c r="J51" i="78"/>
  <c r="I86" i="63"/>
  <c r="H25" i="70" s="1"/>
  <c r="AI230" i="76"/>
  <c r="F21" i="86" l="1"/>
  <c r="G21" i="86" s="1"/>
  <c r="F14" i="87" s="1"/>
  <c r="J23" i="58"/>
  <c r="D26" i="77"/>
  <c r="E26" i="77" s="1"/>
  <c r="D18" i="77"/>
  <c r="E18" i="77" s="1"/>
  <c r="H33" i="78"/>
  <c r="I33" i="78" s="1"/>
  <c r="K33" i="78" s="1"/>
  <c r="H17" i="78"/>
  <c r="I17" i="78" s="1"/>
  <c r="K17" i="78" s="1"/>
  <c r="I14" i="78"/>
  <c r="J14" i="78" s="1"/>
  <c r="J8" i="58"/>
  <c r="F29" i="58"/>
  <c r="G29" i="58" s="1"/>
  <c r="D32" i="70" s="1"/>
  <c r="I32" i="70" s="1"/>
  <c r="J32" i="70" s="1"/>
  <c r="H37" i="78"/>
  <c r="I37" i="78" s="1"/>
  <c r="K37" i="78" s="1"/>
  <c r="I12" i="78"/>
  <c r="I10" i="78" s="1"/>
  <c r="J10" i="78" s="1"/>
  <c r="H13" i="78"/>
  <c r="I13" i="78" s="1"/>
  <c r="K13" i="78" s="1"/>
  <c r="N18" i="74"/>
  <c r="N31" i="74" s="1"/>
  <c r="I30" i="78"/>
  <c r="J30" i="78" s="1"/>
  <c r="H29" i="78"/>
  <c r="I29" i="78" s="1"/>
  <c r="K29" i="78" s="1"/>
  <c r="H25" i="78"/>
  <c r="I25" i="78" s="1"/>
  <c r="K25" i="78" s="1"/>
  <c r="I24" i="78"/>
  <c r="I22" i="78" s="1"/>
  <c r="J22" i="78" s="1"/>
  <c r="I20" i="78"/>
  <c r="I18" i="78" s="1"/>
  <c r="J18" i="78" s="1"/>
  <c r="H21" i="78"/>
  <c r="I21" i="78" s="1"/>
  <c r="K21" i="78" s="1"/>
  <c r="H22" i="92"/>
  <c r="D30" i="77"/>
  <c r="I34" i="78"/>
  <c r="J34" i="78" s="1"/>
  <c r="I18" i="74"/>
  <c r="J19" i="74"/>
  <c r="J18" i="74" s="1"/>
  <c r="J31" i="74" s="1"/>
  <c r="E21" i="79"/>
  <c r="E16" i="79"/>
  <c r="E25" i="79"/>
  <c r="E26" i="79"/>
  <c r="E19" i="79"/>
  <c r="E17" i="79"/>
  <c r="E24" i="79"/>
  <c r="E14" i="79"/>
  <c r="G5" i="79"/>
  <c r="H5" i="79" s="1"/>
  <c r="H4" i="79" s="1"/>
  <c r="F20" i="79" s="1"/>
  <c r="E27" i="79"/>
  <c r="E22" i="79"/>
  <c r="E18" i="79"/>
  <c r="G9" i="79"/>
  <c r="G10" i="79"/>
  <c r="H10" i="79" s="1"/>
  <c r="G8" i="79"/>
  <c r="H8" i="79" s="1"/>
  <c r="G7" i="79"/>
  <c r="H7" i="79" s="1"/>
  <c r="G6" i="79"/>
  <c r="H6" i="79" s="1"/>
  <c r="I26" i="78"/>
  <c r="J26" i="78" s="1"/>
  <c r="D48" i="70"/>
  <c r="R51" i="70" s="1"/>
  <c r="F17" i="86"/>
  <c r="G17" i="86" s="1"/>
  <c r="F9" i="87" s="1"/>
  <c r="H22" i="70"/>
  <c r="J31" i="58"/>
  <c r="J46" i="58" s="1"/>
  <c r="R10" i="70"/>
  <c r="E58" i="62"/>
  <c r="E48" i="70"/>
  <c r="J18" i="70"/>
  <c r="K18" i="70" s="1"/>
  <c r="L18" i="70" s="1"/>
  <c r="P14" i="70"/>
  <c r="L14" i="70"/>
  <c r="E8" i="70"/>
  <c r="I8" i="70" s="1"/>
  <c r="J8" i="70" s="1"/>
  <c r="K8" i="70" s="1"/>
  <c r="E60" i="21"/>
  <c r="F24" i="86"/>
  <c r="F15" i="104" s="1"/>
  <c r="J15" i="104" s="1"/>
  <c r="K15" i="104" s="1"/>
  <c r="E28" i="70"/>
  <c r="I28" i="70" s="1"/>
  <c r="E27" i="70"/>
  <c r="I27" i="70" s="1"/>
  <c r="E10" i="70"/>
  <c r="E18" i="95" s="1"/>
  <c r="I18" i="95" s="1"/>
  <c r="I31" i="70"/>
  <c r="E36" i="70"/>
  <c r="E45" i="70"/>
  <c r="F28" i="86"/>
  <c r="F19" i="104" s="1"/>
  <c r="J19" i="104" s="1"/>
  <c r="K19" i="104" s="1"/>
  <c r="F32" i="86"/>
  <c r="F23" i="104" s="1"/>
  <c r="J23" i="104" s="1"/>
  <c r="K23" i="104" s="1"/>
  <c r="L23" i="104" s="1"/>
  <c r="M23" i="104" s="1"/>
  <c r="E13" i="70"/>
  <c r="I13" i="70" s="1"/>
  <c r="E12" i="81" s="1"/>
  <c r="F12" i="81" s="1"/>
  <c r="H12" i="81" s="1"/>
  <c r="E20" i="70"/>
  <c r="I20" i="70" s="1"/>
  <c r="F25" i="86"/>
  <c r="F16" i="104" s="1"/>
  <c r="J16" i="104" s="1"/>
  <c r="K16" i="104" s="1"/>
  <c r="L16" i="104" s="1"/>
  <c r="M16" i="104" s="1"/>
  <c r="I72" i="63"/>
  <c r="H23" i="70" s="1"/>
  <c r="D77" i="63"/>
  <c r="D84" i="63" s="1"/>
  <c r="D133" i="63" s="1"/>
  <c r="E35" i="70"/>
  <c r="E9" i="70"/>
  <c r="I9" i="70" s="1"/>
  <c r="E30" i="70"/>
  <c r="I30" i="70" s="1"/>
  <c r="E43" i="70"/>
  <c r="E23" i="95" s="1"/>
  <c r="E19" i="70"/>
  <c r="I19" i="70" s="1"/>
  <c r="F21" i="91"/>
  <c r="E12" i="94" s="1"/>
  <c r="I12" i="94" s="1"/>
  <c r="J12" i="94" s="1"/>
  <c r="K12" i="94" s="1"/>
  <c r="L12" i="94" s="1"/>
  <c r="E39" i="70"/>
  <c r="E22" i="95" s="1"/>
  <c r="E19" i="96"/>
  <c r="E51" i="70" s="1"/>
  <c r="I51" i="70" s="1"/>
  <c r="J51" i="70" s="1"/>
  <c r="K51" i="70" s="1"/>
  <c r="E42" i="70"/>
  <c r="J47" i="58"/>
  <c r="F20" i="75"/>
  <c r="F30" i="75" s="1"/>
  <c r="F23" i="91"/>
  <c r="E14" i="94" s="1"/>
  <c r="I14" i="94" s="1"/>
  <c r="J14" i="94" s="1"/>
  <c r="K14" i="94" s="1"/>
  <c r="L14" i="94" s="1"/>
  <c r="F30" i="91"/>
  <c r="E21" i="94" s="1"/>
  <c r="I21" i="94" s="1"/>
  <c r="J21" i="94" s="1"/>
  <c r="K21" i="94" s="1"/>
  <c r="L21" i="94" s="1"/>
  <c r="E18" i="96"/>
  <c r="E50" i="70" s="1"/>
  <c r="I50" i="70" s="1"/>
  <c r="J50" i="70" s="1"/>
  <c r="K50" i="70" s="1"/>
  <c r="P50" i="70" s="1"/>
  <c r="F28" i="91"/>
  <c r="E19" i="94" s="1"/>
  <c r="I19" i="94" s="1"/>
  <c r="J19" i="94" s="1"/>
  <c r="K19" i="94" s="1"/>
  <c r="L19" i="94" s="1"/>
  <c r="F15" i="91"/>
  <c r="E6" i="94" s="1"/>
  <c r="I6" i="94" s="1"/>
  <c r="J6" i="94" s="1"/>
  <c r="K6" i="94" s="1"/>
  <c r="L6" i="94" s="1"/>
  <c r="F16" i="75"/>
  <c r="F25" i="91"/>
  <c r="E16" i="94" s="1"/>
  <c r="I16" i="94" s="1"/>
  <c r="J16" i="94" s="1"/>
  <c r="K16" i="94" s="1"/>
  <c r="L16" i="94" s="1"/>
  <c r="F32" i="91"/>
  <c r="E23" i="94" s="1"/>
  <c r="I23" i="94" s="1"/>
  <c r="J23" i="94" s="1"/>
  <c r="K23" i="94" s="1"/>
  <c r="L23" i="94" s="1"/>
  <c r="I60" i="70"/>
  <c r="I59" i="70"/>
  <c r="J59" i="70" s="1"/>
  <c r="K59" i="70" s="1"/>
  <c r="P59" i="70" s="1"/>
  <c r="F20" i="111"/>
  <c r="I58" i="70"/>
  <c r="J58" i="70" s="1"/>
  <c r="K58" i="70" s="1"/>
  <c r="P58" i="70" s="1"/>
  <c r="F19" i="111"/>
  <c r="I57" i="70"/>
  <c r="J57" i="70" s="1"/>
  <c r="K57" i="70" s="1"/>
  <c r="P57" i="70" s="1"/>
  <c r="I63" i="63"/>
  <c r="I59" i="63" s="1"/>
  <c r="G70" i="63"/>
  <c r="I20" i="95"/>
  <c r="J20" i="95" s="1"/>
  <c r="K20" i="95" s="1"/>
  <c r="L20" i="95" s="1"/>
  <c r="E21" i="96"/>
  <c r="E53" i="70" s="1"/>
  <c r="F20" i="86"/>
  <c r="G20" i="86" s="1"/>
  <c r="F13" i="87" s="1"/>
  <c r="F19" i="86"/>
  <c r="F10" i="104" s="1"/>
  <c r="J10" i="104" s="1"/>
  <c r="K10" i="104" s="1"/>
  <c r="L10" i="104" s="1"/>
  <c r="M10" i="104" s="1"/>
  <c r="F35" i="86"/>
  <c r="F26" i="104" s="1"/>
  <c r="F25" i="104" s="1"/>
  <c r="F31" i="86"/>
  <c r="F34" i="86"/>
  <c r="F22" i="86"/>
  <c r="F16" i="86"/>
  <c r="G16" i="86" s="1"/>
  <c r="F7" i="87" s="1"/>
  <c r="F29" i="86"/>
  <c r="F20" i="104" s="1"/>
  <c r="J20" i="104" s="1"/>
  <c r="K20" i="104" s="1"/>
  <c r="L20" i="104" s="1"/>
  <c r="M20" i="104" s="1"/>
  <c r="F18" i="86"/>
  <c r="F9" i="104" s="1"/>
  <c r="J9" i="104" s="1"/>
  <c r="K9" i="104" s="1"/>
  <c r="L9" i="104" s="1"/>
  <c r="M9" i="104" s="1"/>
  <c r="F15" i="86"/>
  <c r="G15" i="86" s="1"/>
  <c r="F6" i="87" s="1"/>
  <c r="F26" i="86"/>
  <c r="F17" i="104" s="1"/>
  <c r="J17" i="104" s="1"/>
  <c r="K17" i="104" s="1"/>
  <c r="L17" i="104" s="1"/>
  <c r="M17" i="104" s="1"/>
  <c r="F23" i="86"/>
  <c r="F14" i="104" s="1"/>
  <c r="J14" i="104" s="1"/>
  <c r="K14" i="104" s="1"/>
  <c r="L14" i="104" s="1"/>
  <c r="M14" i="104" s="1"/>
  <c r="F33" i="86"/>
  <c r="F24" i="104" s="1"/>
  <c r="J24" i="104" s="1"/>
  <c r="K24" i="104" s="1"/>
  <c r="L24" i="104" s="1"/>
  <c r="M24" i="104" s="1"/>
  <c r="F27" i="86"/>
  <c r="G6" i="87"/>
  <c r="H38" i="84"/>
  <c r="I17" i="70"/>
  <c r="F21" i="81"/>
  <c r="G21" i="81" s="1"/>
  <c r="I20" i="75"/>
  <c r="I30" i="75" s="1"/>
  <c r="F18" i="91"/>
  <c r="E9" i="94" s="1"/>
  <c r="I9" i="94" s="1"/>
  <c r="J9" i="94" s="1"/>
  <c r="K9" i="94" s="1"/>
  <c r="L9" i="94" s="1"/>
  <c r="F16" i="91"/>
  <c r="E7" i="94" s="1"/>
  <c r="I7" i="94" s="1"/>
  <c r="J7" i="94" s="1"/>
  <c r="K7" i="94" s="1"/>
  <c r="L7" i="94" s="1"/>
  <c r="F26" i="91"/>
  <c r="E17" i="94" s="1"/>
  <c r="I17" i="94" s="1"/>
  <c r="J17" i="94" s="1"/>
  <c r="K17" i="94" s="1"/>
  <c r="L17" i="94" s="1"/>
  <c r="F29" i="91"/>
  <c r="E20" i="94" s="1"/>
  <c r="I20" i="94" s="1"/>
  <c r="J20" i="94" s="1"/>
  <c r="K20" i="94" s="1"/>
  <c r="L20" i="94" s="1"/>
  <c r="F22" i="91"/>
  <c r="E13" i="94" s="1"/>
  <c r="I13" i="94" s="1"/>
  <c r="J13" i="94" s="1"/>
  <c r="K13" i="94" s="1"/>
  <c r="L13" i="94" s="1"/>
  <c r="J12" i="70"/>
  <c r="E11" i="81"/>
  <c r="F11" i="81" s="1"/>
  <c r="H11" i="81" s="1"/>
  <c r="E22" i="96"/>
  <c r="E54" i="70" s="1"/>
  <c r="I54" i="70" s="1"/>
  <c r="J54" i="70" s="1"/>
  <c r="K54" i="70" s="1"/>
  <c r="E17" i="96"/>
  <c r="E49" i="70" s="1"/>
  <c r="I49" i="70" s="1"/>
  <c r="J49" i="70" s="1"/>
  <c r="K49" i="70" s="1"/>
  <c r="P49" i="70" s="1"/>
  <c r="E17" i="81"/>
  <c r="F17" i="81" s="1"/>
  <c r="G17" i="81" s="1"/>
  <c r="J97" i="85"/>
  <c r="K27" i="88" s="1"/>
  <c r="L24" i="88"/>
  <c r="M15" i="106"/>
  <c r="M13" i="82"/>
  <c r="N13" i="82" s="1"/>
  <c r="L11" i="82"/>
  <c r="J19" i="82"/>
  <c r="I33" i="88"/>
  <c r="L25" i="88"/>
  <c r="G27" i="104"/>
  <c r="F12" i="104"/>
  <c r="J12" i="104" s="1"/>
  <c r="K12" i="104" s="1"/>
  <c r="L12" i="104" s="1"/>
  <c r="M12" i="104" s="1"/>
  <c r="AI146" i="76"/>
  <c r="L19" i="104"/>
  <c r="M19" i="104" s="1"/>
  <c r="AI326" i="76"/>
  <c r="AI258" i="76"/>
  <c r="AI84" i="76"/>
  <c r="AI324" i="76"/>
  <c r="AI257" i="76"/>
  <c r="AI332" i="76"/>
  <c r="AI59" i="76"/>
  <c r="AI13" i="76"/>
  <c r="AI36" i="76"/>
  <c r="AI172" i="76"/>
  <c r="AI160" i="76"/>
  <c r="AI130" i="76"/>
  <c r="AI76" i="76"/>
  <c r="AI29" i="76"/>
  <c r="AI111" i="76"/>
  <c r="AI190" i="76"/>
  <c r="AI323" i="76"/>
  <c r="AI28" i="76"/>
  <c r="AI269" i="76"/>
  <c r="AI56" i="76"/>
  <c r="AI121" i="76"/>
  <c r="AI302" i="76"/>
  <c r="E13" i="81"/>
  <c r="AI331" i="76"/>
  <c r="AI215" i="76"/>
  <c r="AI192" i="76"/>
  <c r="AI87" i="76"/>
  <c r="AI132" i="76"/>
  <c r="AI171" i="76"/>
  <c r="AI27" i="76"/>
  <c r="AI115" i="76"/>
  <c r="AI180" i="76"/>
  <c r="AI74" i="76"/>
  <c r="AI151" i="76"/>
  <c r="AI325" i="76"/>
  <c r="AI327" i="76"/>
  <c r="AI152" i="76"/>
  <c r="AI95" i="76"/>
  <c r="AI86" i="76"/>
  <c r="AI30" i="76"/>
  <c r="AI64" i="76"/>
  <c r="AI147" i="76"/>
  <c r="AI159" i="76"/>
  <c r="AI120" i="76"/>
  <c r="AI113" i="76"/>
  <c r="AI109" i="76"/>
  <c r="AI66" i="76"/>
  <c r="AI244" i="76"/>
  <c r="AI162" i="76"/>
  <c r="AI246" i="76"/>
  <c r="AI304" i="76"/>
  <c r="AI26" i="76"/>
  <c r="AI221" i="76"/>
  <c r="AI144" i="76"/>
  <c r="AI58" i="76"/>
  <c r="AI228" i="76"/>
  <c r="AI278" i="76"/>
  <c r="AI333" i="76"/>
  <c r="AI262" i="76"/>
  <c r="AI184" i="76"/>
  <c r="AI216" i="76"/>
  <c r="AI65" i="76"/>
  <c r="AI341" i="76"/>
  <c r="AI45" i="76"/>
  <c r="AI338" i="76"/>
  <c r="AI265" i="76"/>
  <c r="AI112" i="76"/>
  <c r="AI204" i="76"/>
  <c r="AI266" i="76"/>
  <c r="AI46" i="76"/>
  <c r="AI340" i="76"/>
  <c r="F22" i="81"/>
  <c r="H22" i="81" s="1"/>
  <c r="AI235" i="76"/>
  <c r="AI69" i="76"/>
  <c r="AI201" i="76"/>
  <c r="AI219" i="76"/>
  <c r="AI319" i="76"/>
  <c r="AI165" i="76"/>
  <c r="AI148" i="76"/>
  <c r="AI167" i="76"/>
  <c r="AI226" i="76"/>
  <c r="AI124" i="76"/>
  <c r="AI182" i="76"/>
  <c r="AI73" i="76"/>
  <c r="AI252" i="76"/>
  <c r="AI309" i="76"/>
  <c r="AI183" i="76"/>
  <c r="AI268" i="76"/>
  <c r="AI102" i="76"/>
  <c r="AI39" i="76"/>
  <c r="AI47" i="76"/>
  <c r="AI22" i="76"/>
  <c r="AI200" i="76"/>
  <c r="AI280" i="76"/>
  <c r="AI35" i="76"/>
  <c r="AI256" i="76"/>
  <c r="AI67" i="76"/>
  <c r="AI196" i="76"/>
  <c r="AI158" i="76"/>
  <c r="AI253" i="76"/>
  <c r="AI202" i="76"/>
  <c r="AI173" i="76"/>
  <c r="AI195" i="76"/>
  <c r="AI122" i="76"/>
  <c r="AI217" i="76"/>
  <c r="AI320" i="76"/>
  <c r="AI103" i="76"/>
  <c r="AI236" i="76"/>
  <c r="AI11" i="76"/>
  <c r="AI205" i="76"/>
  <c r="AI164" i="76"/>
  <c r="AI114" i="76"/>
  <c r="AI38" i="76"/>
  <c r="AI110" i="76"/>
  <c r="AI339" i="76"/>
  <c r="AI263" i="76"/>
  <c r="AI227" i="76"/>
  <c r="AI55" i="76"/>
  <c r="AI254" i="76"/>
  <c r="AI94" i="76"/>
  <c r="AI166" i="76"/>
  <c r="AI106" i="76"/>
  <c r="AI203" i="76"/>
  <c r="AI143" i="76"/>
  <c r="AI220" i="76"/>
  <c r="AI129" i="76"/>
  <c r="AI179" i="76"/>
  <c r="AI229" i="76"/>
  <c r="AI300" i="76"/>
  <c r="AI44" i="76"/>
  <c r="AI245" i="76"/>
  <c r="AI78" i="76"/>
  <c r="AI170" i="76"/>
  <c r="AI225" i="76"/>
  <c r="AI131" i="76"/>
  <c r="AI181" i="76"/>
  <c r="AI231" i="76"/>
  <c r="AI145" i="76"/>
  <c r="AI191" i="76"/>
  <c r="AI247" i="76"/>
  <c r="AI299" i="76"/>
  <c r="AI104" i="76"/>
  <c r="AI321" i="76"/>
  <c r="I136" i="63"/>
  <c r="AI150" i="76"/>
  <c r="AI37" i="76"/>
  <c r="AI270" i="76"/>
  <c r="AI153" i="76"/>
  <c r="AI259" i="76"/>
  <c r="AI123" i="76"/>
  <c r="AI255" i="76"/>
  <c r="AI334" i="76"/>
  <c r="AI125" i="76"/>
  <c r="AI133" i="76"/>
  <c r="AI206" i="76"/>
  <c r="AI48" i="76"/>
  <c r="AI193" i="76"/>
  <c r="AI116" i="76"/>
  <c r="AI218" i="76"/>
  <c r="AI185" i="76"/>
  <c r="AI264" i="76"/>
  <c r="AI105" i="76"/>
  <c r="AI149" i="76"/>
  <c r="AI157" i="76"/>
  <c r="AI163" i="76"/>
  <c r="AI267" i="76"/>
  <c r="AI142" i="76"/>
  <c r="AI207" i="76"/>
  <c r="AI54" i="76"/>
  <c r="AI194" i="76"/>
  <c r="AI156" i="76"/>
  <c r="AI126" i="76"/>
  <c r="AI12" i="76"/>
  <c r="AI21" i="76"/>
  <c r="AI75" i="76"/>
  <c r="AI301" i="76"/>
  <c r="AI20" i="76"/>
  <c r="AI57" i="76"/>
  <c r="AI328" i="76"/>
  <c r="AI85" i="76"/>
  <c r="AI68" i="76"/>
  <c r="AI279" i="76"/>
  <c r="AI23" i="76"/>
  <c r="AI77" i="76"/>
  <c r="AI303" i="76"/>
  <c r="AI34" i="76"/>
  <c r="AI93" i="76"/>
  <c r="AI322" i="76"/>
  <c r="AI14" i="76"/>
  <c r="AI161" i="76"/>
  <c r="J38" i="70"/>
  <c r="K38" i="70" s="1"/>
  <c r="L38" i="70" s="1"/>
  <c r="E32" i="81"/>
  <c r="F32" i="81" s="1"/>
  <c r="J60" i="70" l="1"/>
  <c r="K60" i="70" s="1"/>
  <c r="P60" i="70" s="1"/>
  <c r="F21" i="79"/>
  <c r="F14" i="79"/>
  <c r="F28" i="79" s="1"/>
  <c r="H28" i="79" s="1"/>
  <c r="E28" i="79"/>
  <c r="F26" i="79"/>
  <c r="F30" i="58"/>
  <c r="G30" i="58" s="1"/>
  <c r="F22" i="79"/>
  <c r="F24" i="79"/>
  <c r="F25" i="79"/>
  <c r="H9" i="79"/>
  <c r="G11" i="79"/>
  <c r="H11" i="79" s="1"/>
  <c r="F19" i="79"/>
  <c r="F18" i="79"/>
  <c r="F27" i="79"/>
  <c r="F17" i="79"/>
  <c r="F16" i="79"/>
  <c r="G22" i="70"/>
  <c r="L15" i="104"/>
  <c r="M15" i="104" s="1"/>
  <c r="J17" i="70"/>
  <c r="K17" i="70" s="1"/>
  <c r="E8" i="81"/>
  <c r="F8" i="81" s="1"/>
  <c r="H8" i="81" s="1"/>
  <c r="J28" i="70"/>
  <c r="K28" i="70" s="1"/>
  <c r="L28" i="70" s="1"/>
  <c r="E27" i="81"/>
  <c r="F17" i="111" s="1"/>
  <c r="E19" i="81"/>
  <c r="F19" i="81" s="1"/>
  <c r="H19" i="81" s="1"/>
  <c r="J27" i="70"/>
  <c r="K27" i="70" s="1"/>
  <c r="L27" i="70" s="1"/>
  <c r="K12" i="70"/>
  <c r="L12" i="70" s="1"/>
  <c r="K32" i="70"/>
  <c r="L32" i="70" s="1"/>
  <c r="R53" i="70"/>
  <c r="R9" i="70"/>
  <c r="E18" i="81"/>
  <c r="F18" i="81" s="1"/>
  <c r="G18" i="81" s="1"/>
  <c r="J31" i="70"/>
  <c r="K31" i="70" s="1"/>
  <c r="L31" i="70" s="1"/>
  <c r="P18" i="70"/>
  <c r="L50" i="70"/>
  <c r="L49" i="70"/>
  <c r="L54" i="70"/>
  <c r="P54" i="70"/>
  <c r="L51" i="70"/>
  <c r="P51" i="70"/>
  <c r="L57" i="70"/>
  <c r="L59" i="70"/>
  <c r="L58" i="70"/>
  <c r="E24" i="95"/>
  <c r="I24" i="95" s="1"/>
  <c r="J24" i="95" s="1"/>
  <c r="K24" i="95" s="1"/>
  <c r="L24" i="95" s="1"/>
  <c r="I53" i="70"/>
  <c r="I48" i="70"/>
  <c r="I10" i="70"/>
  <c r="J9" i="70"/>
  <c r="K9" i="70" s="1"/>
  <c r="I45" i="70"/>
  <c r="E24" i="81"/>
  <c r="F24" i="81" s="1"/>
  <c r="H24" i="81" s="1"/>
  <c r="J13" i="70"/>
  <c r="K13" i="70" s="1"/>
  <c r="E21" i="95"/>
  <c r="I21" i="95" s="1"/>
  <c r="J21" i="95" s="1"/>
  <c r="K21" i="95" s="1"/>
  <c r="L21" i="95" s="1"/>
  <c r="D140" i="63"/>
  <c r="D158" i="63" s="1"/>
  <c r="D164" i="63" s="1"/>
  <c r="D170" i="63" s="1"/>
  <c r="D151" i="63"/>
  <c r="I70" i="63"/>
  <c r="I66" i="63" s="1"/>
  <c r="G23" i="70" s="1"/>
  <c r="I23" i="70" s="1"/>
  <c r="J23" i="70" s="1"/>
  <c r="K23" i="70" s="1"/>
  <c r="G77" i="63"/>
  <c r="J30" i="70"/>
  <c r="K30" i="70" s="1"/>
  <c r="L30" i="70" s="1"/>
  <c r="J19" i="70"/>
  <c r="K19" i="70" s="1"/>
  <c r="L19" i="70" s="1"/>
  <c r="J49" i="58"/>
  <c r="G19" i="86"/>
  <c r="F12" i="87" s="1"/>
  <c r="F22" i="104"/>
  <c r="M18" i="104"/>
  <c r="J26" i="104"/>
  <c r="J25" i="104" s="1"/>
  <c r="E25" i="81"/>
  <c r="F25" i="81" s="1"/>
  <c r="G25" i="81" s="1"/>
  <c r="F6" i="104"/>
  <c r="J6" i="104" s="1"/>
  <c r="K6" i="104" s="1"/>
  <c r="K18" i="104"/>
  <c r="E16" i="81"/>
  <c r="F16" i="81" s="1"/>
  <c r="H16" i="81" s="1"/>
  <c r="J18" i="95"/>
  <c r="K18" i="95" s="1"/>
  <c r="L18" i="95" s="1"/>
  <c r="F7" i="104"/>
  <c r="J7" i="104" s="1"/>
  <c r="K7" i="104" s="1"/>
  <c r="L7" i="104" s="1"/>
  <c r="M7" i="104" s="1"/>
  <c r="J22" i="104"/>
  <c r="G11" i="81"/>
  <c r="I11" i="81" s="1"/>
  <c r="J11" i="81" s="1"/>
  <c r="K11" i="81" s="1"/>
  <c r="F11" i="104"/>
  <c r="J11" i="104" s="1"/>
  <c r="K11" i="104" s="1"/>
  <c r="L11" i="104" s="1"/>
  <c r="M11" i="104" s="1"/>
  <c r="M8" i="104" s="1"/>
  <c r="J20" i="70"/>
  <c r="K20" i="70" s="1"/>
  <c r="L20" i="70" s="1"/>
  <c r="E7" i="81"/>
  <c r="J13" i="104"/>
  <c r="M13" i="104"/>
  <c r="K13" i="104"/>
  <c r="J18" i="104"/>
  <c r="M22" i="104"/>
  <c r="F13" i="104"/>
  <c r="F18" i="104"/>
  <c r="F36" i="86"/>
  <c r="F37" i="86" s="1"/>
  <c r="K28" i="88" s="1"/>
  <c r="L28" i="88" s="1"/>
  <c r="H21" i="81"/>
  <c r="I21" i="81" s="1"/>
  <c r="J21" i="81" s="1"/>
  <c r="K21" i="81" s="1"/>
  <c r="F13" i="81"/>
  <c r="G13" i="81" s="1"/>
  <c r="F40" i="81"/>
  <c r="F41" i="81"/>
  <c r="H17" i="81"/>
  <c r="I17" i="81" s="1"/>
  <c r="J17" i="81" s="1"/>
  <c r="K17" i="81" s="1"/>
  <c r="L27" i="88"/>
  <c r="J98" i="85"/>
  <c r="L19" i="82"/>
  <c r="M11" i="82"/>
  <c r="M19" i="82" s="1"/>
  <c r="K22" i="104"/>
  <c r="L13" i="104"/>
  <c r="L18" i="104"/>
  <c r="G12" i="81"/>
  <c r="I12" i="81" s="1"/>
  <c r="J12" i="81" s="1"/>
  <c r="K12" i="81" s="1"/>
  <c r="G22" i="81"/>
  <c r="I22" i="81" s="1"/>
  <c r="J22" i="81" s="1"/>
  <c r="H35" i="70"/>
  <c r="I142" i="63"/>
  <c r="H32" i="81"/>
  <c r="G32" i="81"/>
  <c r="P38" i="70"/>
  <c r="L22" i="104"/>
  <c r="F27" i="81" l="1"/>
  <c r="H27" i="81" s="1"/>
  <c r="L60" i="70"/>
  <c r="D33" i="70"/>
  <c r="G48" i="58"/>
  <c r="I33" i="70"/>
  <c r="J33" i="70" s="1"/>
  <c r="R8" i="70"/>
  <c r="F5" i="104"/>
  <c r="I22" i="70"/>
  <c r="J22" i="70" s="1"/>
  <c r="K22" i="70" s="1"/>
  <c r="L22" i="70" s="1"/>
  <c r="G19" i="81"/>
  <c r="I19" i="81" s="1"/>
  <c r="J19" i="81" s="1"/>
  <c r="K19" i="81" s="1"/>
  <c r="G8" i="81"/>
  <c r="I8" i="81" s="1"/>
  <c r="J8" i="81" s="1"/>
  <c r="K8" i="81" s="1"/>
  <c r="H18" i="81"/>
  <c r="I18" i="81" s="1"/>
  <c r="J18" i="81" s="1"/>
  <c r="K18" i="81" s="1"/>
  <c r="P27" i="70"/>
  <c r="L8" i="70"/>
  <c r="P8" i="70"/>
  <c r="L9" i="70"/>
  <c r="P20" i="70"/>
  <c r="P30" i="70"/>
  <c r="P12" i="70"/>
  <c r="P28" i="70"/>
  <c r="P17" i="70"/>
  <c r="L17" i="70"/>
  <c r="P13" i="70"/>
  <c r="L13" i="70"/>
  <c r="J10" i="70"/>
  <c r="K10" i="70" s="1"/>
  <c r="P19" i="70"/>
  <c r="P32" i="70"/>
  <c r="AA279" i="76"/>
  <c r="AA333" i="76"/>
  <c r="AA264" i="76"/>
  <c r="AA159" i="76"/>
  <c r="AA303" i="76"/>
  <c r="AA78" i="76"/>
  <c r="AA84" i="76"/>
  <c r="AA167" i="76"/>
  <c r="AA103" i="76"/>
  <c r="AA44" i="76"/>
  <c r="AA21" i="76"/>
  <c r="AA215" i="76"/>
  <c r="AA109" i="76"/>
  <c r="AA255" i="76"/>
  <c r="AA180" i="76"/>
  <c r="AA219" i="76"/>
  <c r="AA235" i="76"/>
  <c r="AA152" i="76"/>
  <c r="AA132" i="76"/>
  <c r="AA201" i="76"/>
  <c r="AA195" i="76"/>
  <c r="AA69" i="76"/>
  <c r="AA34" i="76"/>
  <c r="AA67" i="76"/>
  <c r="AA110" i="76"/>
  <c r="AA146" i="76"/>
  <c r="AA85" i="76"/>
  <c r="AA322" i="76"/>
  <c r="AA247" i="76"/>
  <c r="AA116" i="76"/>
  <c r="AA325" i="76"/>
  <c r="AA172" i="76"/>
  <c r="AA328" i="76"/>
  <c r="AA30" i="76"/>
  <c r="AA171" i="76"/>
  <c r="AA37" i="76"/>
  <c r="AA327" i="76"/>
  <c r="AA111" i="76"/>
  <c r="AA77" i="76"/>
  <c r="AA150" i="76"/>
  <c r="AA270" i="76"/>
  <c r="AA331" i="76"/>
  <c r="AA268" i="76"/>
  <c r="AA165" i="76"/>
  <c r="AA11" i="76"/>
  <c r="AA300" i="76"/>
  <c r="AA65" i="76"/>
  <c r="AA160" i="76"/>
  <c r="AA20" i="76"/>
  <c r="AA12" i="76"/>
  <c r="AA144" i="76"/>
  <c r="AA221" i="76"/>
  <c r="AA220" i="76"/>
  <c r="AA153" i="76"/>
  <c r="AA217" i="76"/>
  <c r="AA334" i="76"/>
  <c r="AA179" i="76"/>
  <c r="AA149" i="76"/>
  <c r="AA321" i="76"/>
  <c r="AA76" i="76"/>
  <c r="AA68" i="76"/>
  <c r="AA147" i="76"/>
  <c r="AA28" i="76"/>
  <c r="AA94" i="76"/>
  <c r="AA216" i="76"/>
  <c r="AA258" i="76"/>
  <c r="AA57" i="76"/>
  <c r="AA151" i="76"/>
  <c r="AA23" i="76"/>
  <c r="AA309" i="76"/>
  <c r="AA114" i="76"/>
  <c r="AA254" i="76"/>
  <c r="AA278" i="76"/>
  <c r="AA202" i="76"/>
  <c r="AA228" i="76"/>
  <c r="AA231" i="76"/>
  <c r="AA47" i="76"/>
  <c r="AA131" i="76"/>
  <c r="AA192" i="76"/>
  <c r="AA320" i="76"/>
  <c r="AA66" i="76"/>
  <c r="AA244" i="76"/>
  <c r="AA64" i="76"/>
  <c r="AA280" i="76"/>
  <c r="AA170" i="76"/>
  <c r="AA93" i="76"/>
  <c r="AA75" i="76"/>
  <c r="AA193" i="76"/>
  <c r="AA56" i="76"/>
  <c r="AA324" i="76"/>
  <c r="AA74" i="76"/>
  <c r="AA227" i="76"/>
  <c r="AA218" i="76"/>
  <c r="AA319" i="76"/>
  <c r="AA229" i="76"/>
  <c r="AA95" i="76"/>
  <c r="AA143" i="76"/>
  <c r="AA105" i="76"/>
  <c r="AA266" i="76"/>
  <c r="AA191" i="76"/>
  <c r="AA73" i="76"/>
  <c r="AA112" i="76"/>
  <c r="AA87" i="76"/>
  <c r="AA338" i="76"/>
  <c r="AA262" i="76"/>
  <c r="AA22" i="76"/>
  <c r="AA340" i="76"/>
  <c r="AA55" i="76"/>
  <c r="AA341" i="76"/>
  <c r="AA123" i="76"/>
  <c r="AA120" i="76"/>
  <c r="AA145" i="76"/>
  <c r="AA133" i="76"/>
  <c r="AA181" i="76"/>
  <c r="AA59" i="76"/>
  <c r="AA39" i="76"/>
  <c r="AA225" i="76"/>
  <c r="AA104" i="76"/>
  <c r="AA36" i="76"/>
  <c r="AA184" i="76"/>
  <c r="AA326" i="76"/>
  <c r="AA124" i="76"/>
  <c r="AA267" i="76"/>
  <c r="AA236" i="76"/>
  <c r="AA196" i="76"/>
  <c r="AA252" i="76"/>
  <c r="AA122" i="76"/>
  <c r="AA206" i="76"/>
  <c r="AA45" i="76"/>
  <c r="AA230" i="76"/>
  <c r="AA323" i="76"/>
  <c r="AA26" i="76"/>
  <c r="AA158" i="76"/>
  <c r="AA14" i="76"/>
  <c r="AA35" i="76"/>
  <c r="AA106" i="76"/>
  <c r="AA86" i="76"/>
  <c r="AA263" i="76"/>
  <c r="AA130" i="76"/>
  <c r="AA194" i="76"/>
  <c r="AA203" i="76"/>
  <c r="AA200" i="76"/>
  <c r="AA256" i="76"/>
  <c r="AA302" i="76"/>
  <c r="AA339" i="76"/>
  <c r="AA157" i="76"/>
  <c r="AA161" i="76"/>
  <c r="AA265" i="76"/>
  <c r="AA113" i="76"/>
  <c r="AA173" i="76"/>
  <c r="AA129" i="76"/>
  <c r="AA166" i="76"/>
  <c r="AA253" i="76"/>
  <c r="AA142" i="76"/>
  <c r="AA162" i="76"/>
  <c r="AA204" i="76"/>
  <c r="AA48" i="76"/>
  <c r="AA246" i="76"/>
  <c r="AA27" i="76"/>
  <c r="AA190" i="76"/>
  <c r="AA259" i="76"/>
  <c r="AA46" i="76"/>
  <c r="AA301" i="76"/>
  <c r="AA115" i="76"/>
  <c r="AA257" i="76"/>
  <c r="AA164" i="76"/>
  <c r="AA185" i="76"/>
  <c r="AA126" i="76"/>
  <c r="AA58" i="76"/>
  <c r="AA183" i="76"/>
  <c r="AA182" i="76"/>
  <c r="AA121" i="76"/>
  <c r="AA125" i="76"/>
  <c r="AA269" i="76"/>
  <c r="AA226" i="76"/>
  <c r="AA156" i="76"/>
  <c r="AA163" i="76"/>
  <c r="AA102" i="76"/>
  <c r="AA205" i="76"/>
  <c r="AA29" i="76"/>
  <c r="AA13" i="76"/>
  <c r="AA332" i="76"/>
  <c r="AA245" i="76"/>
  <c r="AA207" i="76"/>
  <c r="AA38" i="76"/>
  <c r="AA304" i="76"/>
  <c r="AA54" i="76"/>
  <c r="AA148" i="76"/>
  <c r="AA299" i="76"/>
  <c r="L23" i="70"/>
  <c r="J48" i="70"/>
  <c r="J53" i="70"/>
  <c r="K26" i="104"/>
  <c r="K25" i="104" s="1"/>
  <c r="G24" i="81"/>
  <c r="I24" i="81" s="1"/>
  <c r="J24" i="81" s="1"/>
  <c r="K24" i="81" s="1"/>
  <c r="E9" i="81"/>
  <c r="F9" i="81" s="1"/>
  <c r="G9" i="81" s="1"/>
  <c r="AB158" i="76"/>
  <c r="AB94" i="76"/>
  <c r="E39" i="81"/>
  <c r="F39" i="81" s="1"/>
  <c r="G39" i="81" s="1"/>
  <c r="J45" i="70"/>
  <c r="AB85" i="76"/>
  <c r="AB37" i="76"/>
  <c r="AB56" i="76"/>
  <c r="AB58" i="76"/>
  <c r="AB157" i="76"/>
  <c r="AB38" i="76"/>
  <c r="AB27" i="76"/>
  <c r="AB200" i="76"/>
  <c r="AB21" i="76"/>
  <c r="AB180" i="76"/>
  <c r="AB121" i="76"/>
  <c r="AB334" i="76"/>
  <c r="AB102" i="76"/>
  <c r="AB190" i="76"/>
  <c r="AT227" i="76"/>
  <c r="G84" i="63"/>
  <c r="I77" i="63"/>
  <c r="I73" i="63" s="1"/>
  <c r="G24" i="70" s="1"/>
  <c r="I24" i="70" s="1"/>
  <c r="J24" i="70" s="1"/>
  <c r="K24" i="70" s="1"/>
  <c r="G27" i="81"/>
  <c r="I27" i="81" s="1"/>
  <c r="J27" i="81" s="1"/>
  <c r="K27" i="81" s="1"/>
  <c r="K5" i="104"/>
  <c r="H25" i="81"/>
  <c r="I25" i="81" s="1"/>
  <c r="J25" i="81" s="1"/>
  <c r="K25" i="81" s="1"/>
  <c r="J5" i="104"/>
  <c r="K8" i="104"/>
  <c r="F7" i="81"/>
  <c r="H7" i="81" s="1"/>
  <c r="F16" i="111"/>
  <c r="F8" i="104"/>
  <c r="F27" i="104" s="1"/>
  <c r="J8" i="104"/>
  <c r="L8" i="104"/>
  <c r="G16" i="81"/>
  <c r="I16" i="81" s="1"/>
  <c r="J16" i="81" s="1"/>
  <c r="K16" i="81" s="1"/>
  <c r="H13" i="81"/>
  <c r="I13" i="81" s="1"/>
  <c r="J13" i="81" s="1"/>
  <c r="K13" i="81" s="1"/>
  <c r="K10" i="81" s="1"/>
  <c r="G40" i="81"/>
  <c r="H40" i="81"/>
  <c r="H41" i="81"/>
  <c r="G41" i="81"/>
  <c r="M28" i="88"/>
  <c r="K29" i="88"/>
  <c r="N11" i="82"/>
  <c r="L29" i="88"/>
  <c r="L31" i="88" s="1"/>
  <c r="K22" i="81"/>
  <c r="I160" i="63"/>
  <c r="H36" i="70"/>
  <c r="I32" i="81"/>
  <c r="J32" i="81" s="1"/>
  <c r="K32" i="81" s="1"/>
  <c r="L6" i="104"/>
  <c r="AB339" i="76" l="1"/>
  <c r="AB226" i="76"/>
  <c r="AB22" i="76"/>
  <c r="AW22" i="76" s="1"/>
  <c r="AB325" i="76"/>
  <c r="AW325" i="76" s="1"/>
  <c r="AB147" i="76"/>
  <c r="AB202" i="76"/>
  <c r="K33" i="70"/>
  <c r="L33" i="70" s="1"/>
  <c r="AD149" i="76"/>
  <c r="AD165" i="76"/>
  <c r="AD156" i="76"/>
  <c r="AD299" i="76"/>
  <c r="AD73" i="76"/>
  <c r="AD39" i="76"/>
  <c r="AD245" i="76"/>
  <c r="AD67" i="76"/>
  <c r="AD103" i="76"/>
  <c r="AD12" i="76"/>
  <c r="AD143" i="76"/>
  <c r="AD159" i="76"/>
  <c r="AD65" i="76"/>
  <c r="AD259" i="76"/>
  <c r="AD94" i="76"/>
  <c r="AD121" i="76"/>
  <c r="AD69" i="76"/>
  <c r="AD120" i="76"/>
  <c r="AD325" i="76"/>
  <c r="AD93" i="76"/>
  <c r="AD111" i="76"/>
  <c r="AD321" i="76"/>
  <c r="AD102" i="76"/>
  <c r="AD253" i="76"/>
  <c r="AD167" i="76"/>
  <c r="AD30" i="76"/>
  <c r="AD23" i="76"/>
  <c r="AD254" i="76"/>
  <c r="AD265" i="76"/>
  <c r="AD192" i="76"/>
  <c r="AD231" i="76"/>
  <c r="AD160" i="76"/>
  <c r="AD262" i="76"/>
  <c r="AD54" i="76"/>
  <c r="AD44" i="76"/>
  <c r="AD204" i="76"/>
  <c r="AD227" i="76"/>
  <c r="AD247" i="76"/>
  <c r="AD158" i="76"/>
  <c r="AD226" i="76"/>
  <c r="AD300" i="76"/>
  <c r="AD150" i="76"/>
  <c r="AD201" i="76"/>
  <c r="AD180" i="76"/>
  <c r="AD95" i="76"/>
  <c r="AD229" i="76"/>
  <c r="AD333" i="76"/>
  <c r="AB57" i="76"/>
  <c r="AW57" i="76" s="1"/>
  <c r="AB111" i="76"/>
  <c r="AW111" i="76" s="1"/>
  <c r="AB148" i="76"/>
  <c r="AB230" i="76"/>
  <c r="AW230" i="76" s="1"/>
  <c r="AB126" i="76"/>
  <c r="AW126" i="76" s="1"/>
  <c r="AB195" i="76"/>
  <c r="AW195" i="76" s="1"/>
  <c r="AB205" i="76"/>
  <c r="AB218" i="76"/>
  <c r="AB247" i="76"/>
  <c r="AW247" i="76" s="1"/>
  <c r="AB124" i="76"/>
  <c r="AW124" i="76" s="1"/>
  <c r="AB76" i="76"/>
  <c r="AB26" i="76"/>
  <c r="AW26" i="76" s="1"/>
  <c r="AB165" i="76"/>
  <c r="AW165" i="76" s="1"/>
  <c r="AB303" i="76"/>
  <c r="AW303" i="76" s="1"/>
  <c r="AB179" i="76"/>
  <c r="AW179" i="76" s="1"/>
  <c r="AB323" i="76"/>
  <c r="AW323" i="76" s="1"/>
  <c r="AB332" i="76"/>
  <c r="AW332" i="76" s="1"/>
  <c r="AB130" i="76"/>
  <c r="AW130" i="76" s="1"/>
  <c r="AB320" i="76"/>
  <c r="AB153" i="76"/>
  <c r="AB322" i="76"/>
  <c r="AW322" i="76" s="1"/>
  <c r="AB74" i="76"/>
  <c r="AW74" i="76" s="1"/>
  <c r="AB170" i="76"/>
  <c r="AB64" i="76"/>
  <c r="AW64" i="76" s="1"/>
  <c r="AB75" i="76"/>
  <c r="AW75" i="76" s="1"/>
  <c r="AB254" i="76"/>
  <c r="AW254" i="76" s="1"/>
  <c r="AB172" i="76"/>
  <c r="AW172" i="76" s="1"/>
  <c r="AB256" i="76"/>
  <c r="AW256" i="76" s="1"/>
  <c r="AB300" i="76"/>
  <c r="AW300" i="76" s="1"/>
  <c r="AB246" i="76"/>
  <c r="AW246" i="76" s="1"/>
  <c r="AB219" i="76"/>
  <c r="AW219" i="76" s="1"/>
  <c r="AB131" i="76"/>
  <c r="AW131" i="76" s="1"/>
  <c r="AB319" i="76"/>
  <c r="AW319" i="76" s="1"/>
  <c r="AB116" i="76"/>
  <c r="AW116" i="76" s="1"/>
  <c r="AB253" i="76"/>
  <c r="AW253" i="76" s="1"/>
  <c r="AB55" i="76"/>
  <c r="AW55" i="76" s="1"/>
  <c r="AB340" i="76"/>
  <c r="AW340" i="76" s="1"/>
  <c r="AB191" i="76"/>
  <c r="AW191" i="76" s="1"/>
  <c r="AB20" i="76"/>
  <c r="AW20" i="76" s="1"/>
  <c r="AB145" i="76"/>
  <c r="AW145" i="76" s="1"/>
  <c r="AB144" i="76"/>
  <c r="AW144" i="76" s="1"/>
  <c r="AB321" i="76"/>
  <c r="AW321" i="76" s="1"/>
  <c r="AB216" i="76"/>
  <c r="AW216" i="76" s="1"/>
  <c r="AB77" i="76"/>
  <c r="AB225" i="76"/>
  <c r="AW225" i="76" s="1"/>
  <c r="AB196" i="76"/>
  <c r="AW196" i="76" s="1"/>
  <c r="AB159" i="76"/>
  <c r="AW159" i="76" s="1"/>
  <c r="AB152" i="76"/>
  <c r="AW152" i="76" s="1"/>
  <c r="AB201" i="76"/>
  <c r="AW201" i="76" s="1"/>
  <c r="AD115" i="76"/>
  <c r="AD207" i="76"/>
  <c r="AD86" i="76"/>
  <c r="AD256" i="76"/>
  <c r="AD148" i="76"/>
  <c r="AD26" i="76"/>
  <c r="AD124" i="76"/>
  <c r="AD327" i="76"/>
  <c r="AD68" i="76"/>
  <c r="AD278" i="76"/>
  <c r="AD301" i="76"/>
  <c r="AD14" i="76"/>
  <c r="AD47" i="76"/>
  <c r="AD37" i="76"/>
  <c r="AD181" i="76"/>
  <c r="AD230" i="76"/>
  <c r="AD328" i="76"/>
  <c r="AD129" i="76"/>
  <c r="AD38" i="76"/>
  <c r="AD21" i="76"/>
  <c r="AD266" i="76"/>
  <c r="AD196" i="76"/>
  <c r="AD122" i="76"/>
  <c r="AD304" i="76"/>
  <c r="AD219" i="76"/>
  <c r="AB328" i="76"/>
  <c r="AW328" i="76" s="1"/>
  <c r="AB110" i="76"/>
  <c r="AW110" i="76" s="1"/>
  <c r="AB65" i="76"/>
  <c r="AW65" i="76" s="1"/>
  <c r="AB67" i="76"/>
  <c r="AW67" i="76" s="1"/>
  <c r="AB259" i="76"/>
  <c r="AW259" i="76" s="1"/>
  <c r="AB133" i="76"/>
  <c r="AW133" i="76" s="1"/>
  <c r="AB167" i="76"/>
  <c r="AW167" i="76" s="1"/>
  <c r="AB54" i="76"/>
  <c r="AW54" i="76" s="1"/>
  <c r="AB122" i="76"/>
  <c r="AW122" i="76" s="1"/>
  <c r="AB142" i="76"/>
  <c r="AW142" i="76" s="1"/>
  <c r="AB115" i="76"/>
  <c r="AW115" i="76" s="1"/>
  <c r="AB258" i="76"/>
  <c r="AW258" i="76" s="1"/>
  <c r="AB114" i="76"/>
  <c r="AW114" i="76" s="1"/>
  <c r="AB109" i="76"/>
  <c r="AW109" i="76" s="1"/>
  <c r="AB269" i="76"/>
  <c r="AW269" i="76" s="1"/>
  <c r="AB203" i="76"/>
  <c r="AW203" i="76" s="1"/>
  <c r="AB324" i="76"/>
  <c r="AW324" i="76" s="1"/>
  <c r="AB160" i="76"/>
  <c r="AB39" i="76"/>
  <c r="AW39" i="76" s="1"/>
  <c r="AB12" i="76"/>
  <c r="AW12" i="76" s="1"/>
  <c r="AB333" i="76"/>
  <c r="AW333" i="76" s="1"/>
  <c r="AB262" i="76"/>
  <c r="AW262" i="76" s="1"/>
  <c r="AB129" i="76"/>
  <c r="AW129" i="76" s="1"/>
  <c r="AD228" i="76"/>
  <c r="AD76" i="76"/>
  <c r="AD185" i="76"/>
  <c r="AD280" i="76"/>
  <c r="AD340" i="76"/>
  <c r="AD142" i="76"/>
  <c r="AD225" i="76"/>
  <c r="AD77" i="76"/>
  <c r="AD322" i="76"/>
  <c r="AD29" i="76"/>
  <c r="AD114" i="76"/>
  <c r="AD216" i="76"/>
  <c r="AD309" i="76"/>
  <c r="AD203" i="76"/>
  <c r="AD279" i="76"/>
  <c r="AD104" i="76"/>
  <c r="AD334" i="76"/>
  <c r="AD183" i="76"/>
  <c r="AD331" i="76"/>
  <c r="AD319" i="76"/>
  <c r="AD13" i="76"/>
  <c r="AD338" i="76"/>
  <c r="AD202" i="76"/>
  <c r="AD246" i="76"/>
  <c r="AD205" i="76"/>
  <c r="AB231" i="76"/>
  <c r="AW231" i="76" s="1"/>
  <c r="AB166" i="76"/>
  <c r="AW166" i="76" s="1"/>
  <c r="AB228" i="76"/>
  <c r="AW228" i="76" s="1"/>
  <c r="AB257" i="76"/>
  <c r="AW257" i="76" s="1"/>
  <c r="AB104" i="76"/>
  <c r="AW104" i="76" s="1"/>
  <c r="AB181" i="76"/>
  <c r="AW181" i="76" s="1"/>
  <c r="AB207" i="76"/>
  <c r="AW207" i="76" s="1"/>
  <c r="AB331" i="76"/>
  <c r="AW331" i="76" s="1"/>
  <c r="AB265" i="76"/>
  <c r="AW265" i="76" s="1"/>
  <c r="AB44" i="76"/>
  <c r="AW44" i="76" s="1"/>
  <c r="AB113" i="76"/>
  <c r="AW113" i="76" s="1"/>
  <c r="AB105" i="76"/>
  <c r="AW105" i="76" s="1"/>
  <c r="AB217" i="76"/>
  <c r="AW217" i="76" s="1"/>
  <c r="AB45" i="76"/>
  <c r="AB327" i="76"/>
  <c r="AW327" i="76" s="1"/>
  <c r="AB171" i="76"/>
  <c r="AW171" i="76" s="1"/>
  <c r="AB164" i="76"/>
  <c r="AW164" i="76" s="1"/>
  <c r="AB35" i="76"/>
  <c r="AB120" i="76"/>
  <c r="AW120" i="76" s="1"/>
  <c r="AB151" i="76"/>
  <c r="AW151" i="76" s="1"/>
  <c r="AB34" i="76"/>
  <c r="AW34" i="76" s="1"/>
  <c r="AB194" i="76"/>
  <c r="AW194" i="76" s="1"/>
  <c r="AB278" i="76"/>
  <c r="AW278" i="76" s="1"/>
  <c r="AB146" i="76"/>
  <c r="AW146" i="76" s="1"/>
  <c r="AB149" i="76"/>
  <c r="AW149" i="76" s="1"/>
  <c r="AB270" i="76"/>
  <c r="AW270" i="76" s="1"/>
  <c r="AB78" i="76"/>
  <c r="AW78" i="76" s="1"/>
  <c r="AB95" i="76"/>
  <c r="AW95" i="76" s="1"/>
  <c r="AB309" i="76"/>
  <c r="AW309" i="76" s="1"/>
  <c r="AB87" i="76"/>
  <c r="AW87" i="76" s="1"/>
  <c r="AB244" i="76"/>
  <c r="AW244" i="76" s="1"/>
  <c r="AB86" i="76"/>
  <c r="AW86" i="76" s="1"/>
  <c r="AB245" i="76"/>
  <c r="AW245" i="76" s="1"/>
  <c r="AB46" i="76"/>
  <c r="AW46" i="76" s="1"/>
  <c r="AB220" i="76"/>
  <c r="AW220" i="76" s="1"/>
  <c r="AB36" i="76"/>
  <c r="AW36" i="76" s="1"/>
  <c r="AB30" i="76"/>
  <c r="AW30" i="76" s="1"/>
  <c r="AB341" i="76"/>
  <c r="AW341" i="76" s="1"/>
  <c r="AB73" i="76"/>
  <c r="AW73" i="76" s="1"/>
  <c r="AB163" i="76"/>
  <c r="AW163" i="76" s="1"/>
  <c r="AB23" i="76"/>
  <c r="AB192" i="76"/>
  <c r="AW192" i="76" s="1"/>
  <c r="AB235" i="76"/>
  <c r="AW235" i="76" s="1"/>
  <c r="AB28" i="76"/>
  <c r="AW28" i="76" s="1"/>
  <c r="AB106" i="76"/>
  <c r="AW106" i="76" s="1"/>
  <c r="AB132" i="76"/>
  <c r="AB11" i="76"/>
  <c r="AW11" i="76" s="1"/>
  <c r="AW8" i="76" s="1"/>
  <c r="AW9" i="76" s="1"/>
  <c r="AB123" i="76"/>
  <c r="AW123" i="76" s="1"/>
  <c r="AB161" i="76"/>
  <c r="AW161" i="76" s="1"/>
  <c r="AD193" i="76"/>
  <c r="AD157" i="76"/>
  <c r="AD179" i="76"/>
  <c r="L10" i="70"/>
  <c r="AD105" i="76"/>
  <c r="AD28" i="76"/>
  <c r="AD221" i="76"/>
  <c r="AD36" i="76"/>
  <c r="AD22" i="76"/>
  <c r="AD56" i="76"/>
  <c r="AD236" i="76"/>
  <c r="AD106" i="76"/>
  <c r="AD244" i="76"/>
  <c r="AD182" i="76"/>
  <c r="AD161" i="76"/>
  <c r="AD145" i="76"/>
  <c r="AD324" i="76"/>
  <c r="AD195" i="76"/>
  <c r="AD78" i="76"/>
  <c r="AD126" i="76"/>
  <c r="AD215" i="76"/>
  <c r="AD302" i="76"/>
  <c r="AD191" i="76"/>
  <c r="AD57" i="76"/>
  <c r="AD172" i="76"/>
  <c r="AD332" i="76"/>
  <c r="AD173" i="76"/>
  <c r="AD153" i="76"/>
  <c r="AD87" i="76"/>
  <c r="AD264" i="76"/>
  <c r="AD58" i="76"/>
  <c r="AD116" i="76"/>
  <c r="AD64" i="76"/>
  <c r="AD46" i="76"/>
  <c r="AD152" i="76"/>
  <c r="AD200" i="76"/>
  <c r="AD45" i="76"/>
  <c r="AD164" i="76"/>
  <c r="AD263" i="76"/>
  <c r="AD184" i="76"/>
  <c r="AD66" i="76"/>
  <c r="AD11" i="76"/>
  <c r="AD48" i="76"/>
  <c r="AD130" i="76"/>
  <c r="AD34" i="76"/>
  <c r="AD75" i="76"/>
  <c r="AD27" i="76"/>
  <c r="P10" i="70"/>
  <c r="AB84" i="76"/>
  <c r="AW84" i="76" s="1"/>
  <c r="AB48" i="76"/>
  <c r="AB125" i="76"/>
  <c r="AW125" i="76" s="1"/>
  <c r="AB338" i="76"/>
  <c r="AW338" i="76" s="1"/>
  <c r="AB304" i="76"/>
  <c r="AW304" i="76" s="1"/>
  <c r="AB279" i="76"/>
  <c r="AW279" i="76" s="1"/>
  <c r="AB268" i="76"/>
  <c r="AW268" i="76" s="1"/>
  <c r="AB326" i="76"/>
  <c r="AW326" i="76" s="1"/>
  <c r="AB299" i="76"/>
  <c r="AW299" i="76" s="1"/>
  <c r="AB280" i="76"/>
  <c r="AW280" i="76" s="1"/>
  <c r="AB143" i="76"/>
  <c r="AW143" i="76" s="1"/>
  <c r="AB266" i="76"/>
  <c r="AW266" i="76" s="1"/>
  <c r="AB14" i="76"/>
  <c r="AW14" i="76" s="1"/>
  <c r="AB221" i="76"/>
  <c r="AW221" i="76" s="1"/>
  <c r="AB204" i="76"/>
  <c r="AW204" i="76" s="1"/>
  <c r="AB103" i="76"/>
  <c r="AW103" i="76" s="1"/>
  <c r="AB156" i="76"/>
  <c r="AW156" i="76" s="1"/>
  <c r="AB13" i="76"/>
  <c r="AW13" i="76" s="1"/>
  <c r="AB255" i="76"/>
  <c r="AW255" i="76" s="1"/>
  <c r="AB206" i="76"/>
  <c r="AB182" i="76"/>
  <c r="AW182" i="76" s="1"/>
  <c r="AB302" i="76"/>
  <c r="AW302" i="76" s="1"/>
  <c r="AB264" i="76"/>
  <c r="AW264" i="76" s="1"/>
  <c r="AB227" i="76"/>
  <c r="AW227" i="76" s="1"/>
  <c r="AB150" i="76"/>
  <c r="AW150" i="76" s="1"/>
  <c r="AB252" i="76"/>
  <c r="AW252" i="76" s="1"/>
  <c r="AB215" i="76"/>
  <c r="AW215" i="76" s="1"/>
  <c r="AB173" i="76"/>
  <c r="AW173" i="76" s="1"/>
  <c r="AB59" i="76"/>
  <c r="AW59" i="76" s="1"/>
  <c r="AB162" i="76"/>
  <c r="AW162" i="76" s="1"/>
  <c r="AB301" i="76"/>
  <c r="AW301" i="76" s="1"/>
  <c r="AB68" i="76"/>
  <c r="AW68" i="76" s="1"/>
  <c r="AB185" i="76"/>
  <c r="AW185" i="76" s="1"/>
  <c r="AB229" i="76"/>
  <c r="AW229" i="76" s="1"/>
  <c r="AB193" i="76"/>
  <c r="AW193" i="76" s="1"/>
  <c r="AB263" i="76"/>
  <c r="AW263" i="76" s="1"/>
  <c r="AB184" i="76"/>
  <c r="AB29" i="76"/>
  <c r="AW29" i="76" s="1"/>
  <c r="AB69" i="76"/>
  <c r="AW69" i="76" s="1"/>
  <c r="AB267" i="76"/>
  <c r="AW267" i="76" s="1"/>
  <c r="AB93" i="76"/>
  <c r="AW93" i="76" s="1"/>
  <c r="AB236" i="76"/>
  <c r="AW236" i="76" s="1"/>
  <c r="AB183" i="76"/>
  <c r="AW183" i="76" s="1"/>
  <c r="AB66" i="76"/>
  <c r="AW66" i="76" s="1"/>
  <c r="AB112" i="76"/>
  <c r="AW112" i="76" s="1"/>
  <c r="AB47" i="76"/>
  <c r="AW47" i="76" s="1"/>
  <c r="AD147" i="76"/>
  <c r="AD125" i="76"/>
  <c r="AD85" i="76"/>
  <c r="AD257" i="76"/>
  <c r="AD320" i="76"/>
  <c r="AD132" i="76"/>
  <c r="AD123" i="76"/>
  <c r="AD303" i="76"/>
  <c r="AD269" i="76"/>
  <c r="AD170" i="76"/>
  <c r="AD59" i="76"/>
  <c r="AD55" i="76"/>
  <c r="AD258" i="76"/>
  <c r="AD218" i="76"/>
  <c r="AD267" i="76"/>
  <c r="AD109" i="76"/>
  <c r="AD217" i="76"/>
  <c r="AD326" i="76"/>
  <c r="AD206" i="76"/>
  <c r="AD146" i="76"/>
  <c r="AD20" i="76"/>
  <c r="AD110" i="76"/>
  <c r="AD323" i="76"/>
  <c r="AD113" i="76"/>
  <c r="AD190" i="76"/>
  <c r="AD151" i="76"/>
  <c r="AD133" i="76"/>
  <c r="AD131" i="76"/>
  <c r="AD235" i="76"/>
  <c r="AD74" i="76"/>
  <c r="AD35" i="76"/>
  <c r="AD112" i="76"/>
  <c r="AD144" i="76"/>
  <c r="AD171" i="76"/>
  <c r="AD339" i="76"/>
  <c r="AD220" i="76"/>
  <c r="AD341" i="76"/>
  <c r="AD162" i="76"/>
  <c r="AD194" i="76"/>
  <c r="AD268" i="76"/>
  <c r="AD163" i="76"/>
  <c r="AD84" i="76"/>
  <c r="AD270" i="76"/>
  <c r="AD166" i="76"/>
  <c r="AD255" i="76"/>
  <c r="AD252" i="76"/>
  <c r="P9" i="70"/>
  <c r="AW339" i="76"/>
  <c r="AW38" i="76"/>
  <c r="AW58" i="76"/>
  <c r="AW218" i="76"/>
  <c r="AW56" i="76"/>
  <c r="AW170" i="76"/>
  <c r="AW206" i="76"/>
  <c r="AW184" i="76"/>
  <c r="L26" i="104"/>
  <c r="L25" i="104" s="1"/>
  <c r="AW21" i="76"/>
  <c r="AW27" i="76"/>
  <c r="AW37" i="76"/>
  <c r="AW180" i="76"/>
  <c r="AW132" i="76"/>
  <c r="AW94" i="76"/>
  <c r="AW48" i="76"/>
  <c r="AW45" i="76"/>
  <c r="AW35" i="76"/>
  <c r="AW23" i="76"/>
  <c r="AW158" i="76"/>
  <c r="AW190" i="76"/>
  <c r="AW334" i="76"/>
  <c r="AW148" i="76"/>
  <c r="AW121" i="76"/>
  <c r="AW200" i="76"/>
  <c r="AW320" i="76"/>
  <c r="AW153" i="76"/>
  <c r="AW157" i="76"/>
  <c r="AW147" i="76"/>
  <c r="AW85" i="76"/>
  <c r="AW202" i="76"/>
  <c r="AW76" i="76"/>
  <c r="AW160" i="76"/>
  <c r="AW77" i="76"/>
  <c r="AW102" i="76"/>
  <c r="AW226" i="76"/>
  <c r="AW205" i="76"/>
  <c r="K48" i="70"/>
  <c r="P48" i="70" s="1"/>
  <c r="AT23" i="76"/>
  <c r="AE35" i="76"/>
  <c r="K53" i="70"/>
  <c r="P53" i="70" s="1"/>
  <c r="AE328" i="76"/>
  <c r="AE28" i="76"/>
  <c r="AE204" i="76"/>
  <c r="AE157" i="76"/>
  <c r="AE151" i="76"/>
  <c r="AE124" i="76"/>
  <c r="AE179" i="76"/>
  <c r="AE221" i="76"/>
  <c r="AE44" i="76"/>
  <c r="AE219" i="76"/>
  <c r="AE195" i="76"/>
  <c r="AE327" i="76"/>
  <c r="AE322" i="76"/>
  <c r="AE145" i="76"/>
  <c r="AE94" i="76"/>
  <c r="AE55" i="76"/>
  <c r="AE149" i="76"/>
  <c r="AE184" i="76"/>
  <c r="AE301" i="76"/>
  <c r="AE29" i="76"/>
  <c r="AE110" i="76"/>
  <c r="AE206" i="76"/>
  <c r="AE256" i="76"/>
  <c r="AE190" i="76"/>
  <c r="AE11" i="76"/>
  <c r="AE133" i="76"/>
  <c r="AE64" i="76"/>
  <c r="AE323" i="76"/>
  <c r="AE183" i="76"/>
  <c r="AE180" i="76"/>
  <c r="AE67" i="76"/>
  <c r="AE319" i="76"/>
  <c r="AE132" i="76"/>
  <c r="AE321" i="76"/>
  <c r="AE12" i="76"/>
  <c r="AE111" i="76"/>
  <c r="AE192" i="76"/>
  <c r="AE86" i="76"/>
  <c r="AE263" i="76"/>
  <c r="AE73" i="76"/>
  <c r="AE131" i="76"/>
  <c r="AE278" i="76"/>
  <c r="AE95" i="76"/>
  <c r="AE244" i="76"/>
  <c r="AE255" i="76"/>
  <c r="AE104" i="76"/>
  <c r="AE115" i="76"/>
  <c r="AE246" i="76"/>
  <c r="AE245" i="76"/>
  <c r="AE129" i="76"/>
  <c r="AE122" i="76"/>
  <c r="AE120" i="76"/>
  <c r="AE230" i="76"/>
  <c r="AE252" i="76"/>
  <c r="AE165" i="76"/>
  <c r="AE339" i="76"/>
  <c r="AE159" i="76"/>
  <c r="AE37" i="76"/>
  <c r="AE30" i="76"/>
  <c r="AE167" i="76"/>
  <c r="AE56" i="76"/>
  <c r="AE200" i="76"/>
  <c r="AE196" i="76"/>
  <c r="AE85" i="76"/>
  <c r="AE58" i="76"/>
  <c r="AE191" i="76"/>
  <c r="AE227" i="76"/>
  <c r="AE87" i="76"/>
  <c r="AE45" i="76"/>
  <c r="AE109" i="76"/>
  <c r="AE333" i="76"/>
  <c r="AE68" i="76"/>
  <c r="AE269" i="76"/>
  <c r="AE65" i="76"/>
  <c r="AE309" i="76"/>
  <c r="AE231" i="76"/>
  <c r="AE21" i="76"/>
  <c r="AE181" i="76"/>
  <c r="AE326" i="76"/>
  <c r="AE253" i="76"/>
  <c r="AE38" i="76"/>
  <c r="AE320" i="76"/>
  <c r="AE185" i="76"/>
  <c r="AE236" i="76"/>
  <c r="AE143" i="76"/>
  <c r="AE27" i="76"/>
  <c r="AE39" i="76"/>
  <c r="AE228" i="76"/>
  <c r="AE300" i="76"/>
  <c r="AE173" i="76"/>
  <c r="AE74" i="76"/>
  <c r="AE105" i="76"/>
  <c r="AE156" i="76"/>
  <c r="AE47" i="76"/>
  <c r="AT84" i="76"/>
  <c r="AT27" i="76"/>
  <c r="AT14" i="76"/>
  <c r="H39" i="81"/>
  <c r="I39" i="81" s="1"/>
  <c r="J39" i="81" s="1"/>
  <c r="K39" i="81" s="1"/>
  <c r="K38" i="81" s="1"/>
  <c r="K45" i="70"/>
  <c r="P45" i="70" s="1"/>
  <c r="AT85" i="76"/>
  <c r="AE259" i="76"/>
  <c r="AE324" i="76"/>
  <c r="AE193" i="76"/>
  <c r="AE147" i="76"/>
  <c r="AE34" i="76"/>
  <c r="AE264" i="76"/>
  <c r="AE338" i="76"/>
  <c r="AE112" i="76"/>
  <c r="AE334" i="76"/>
  <c r="AE48" i="76"/>
  <c r="AE170" i="76"/>
  <c r="AE303" i="76"/>
  <c r="AE203" i="76"/>
  <c r="AE14" i="76"/>
  <c r="AE270" i="76"/>
  <c r="AE166" i="76"/>
  <c r="AE218" i="76"/>
  <c r="AE121" i="76"/>
  <c r="AE158" i="76"/>
  <c r="AE13" i="76"/>
  <c r="AE235" i="76"/>
  <c r="AE304" i="76"/>
  <c r="AE182" i="76"/>
  <c r="AE78" i="76"/>
  <c r="AE113" i="76"/>
  <c r="AE262" i="76"/>
  <c r="AE229" i="76"/>
  <c r="AE144" i="76"/>
  <c r="AE254" i="76"/>
  <c r="AE325" i="76"/>
  <c r="AE194" i="76"/>
  <c r="AE102" i="76"/>
  <c r="AE126" i="76"/>
  <c r="AE341" i="76"/>
  <c r="AE266" i="76"/>
  <c r="AE215" i="76"/>
  <c r="AE340" i="76"/>
  <c r="AE265" i="76"/>
  <c r="AE207" i="76"/>
  <c r="AE161" i="76"/>
  <c r="AE114" i="76"/>
  <c r="AE57" i="76"/>
  <c r="AE150" i="76"/>
  <c r="AE77" i="76"/>
  <c r="AE332" i="76"/>
  <c r="AE258" i="76"/>
  <c r="AE202" i="76"/>
  <c r="AE331" i="76"/>
  <c r="AE257" i="76"/>
  <c r="AE201" i="76"/>
  <c r="AE153" i="76"/>
  <c r="AE106" i="76"/>
  <c r="AE46" i="76"/>
  <c r="AE142" i="76"/>
  <c r="AE66" i="76"/>
  <c r="AE23" i="76"/>
  <c r="AE130" i="76"/>
  <c r="AE75" i="76"/>
  <c r="AE22" i="76"/>
  <c r="AT161" i="76"/>
  <c r="AT109" i="76"/>
  <c r="AT225" i="76"/>
  <c r="AT11" i="76"/>
  <c r="AT129" i="76"/>
  <c r="AE76" i="76"/>
  <c r="AE247" i="76"/>
  <c r="AE54" i="76"/>
  <c r="AE205" i="76"/>
  <c r="AE148" i="76"/>
  <c r="AE302" i="76"/>
  <c r="AE279" i="76"/>
  <c r="AE220" i="76"/>
  <c r="AE123" i="76"/>
  <c r="AE160" i="76"/>
  <c r="AE20" i="76"/>
  <c r="AE299" i="76"/>
  <c r="AE226" i="76"/>
  <c r="AE172" i="76"/>
  <c r="AE280" i="76"/>
  <c r="AE225" i="76"/>
  <c r="AE171" i="76"/>
  <c r="AE125" i="76"/>
  <c r="AE69" i="76"/>
  <c r="AE162" i="76"/>
  <c r="AE103" i="76"/>
  <c r="AE26" i="76"/>
  <c r="AE268" i="76"/>
  <c r="AE217" i="76"/>
  <c r="AE164" i="76"/>
  <c r="AE267" i="76"/>
  <c r="AE216" i="76"/>
  <c r="AE163" i="76"/>
  <c r="AE116" i="76"/>
  <c r="AE59" i="76"/>
  <c r="AE152" i="76"/>
  <c r="AE84" i="76"/>
  <c r="AE36" i="76"/>
  <c r="AE146" i="76"/>
  <c r="AE93" i="76"/>
  <c r="AT113" i="76"/>
  <c r="AT180" i="76"/>
  <c r="AT170" i="76"/>
  <c r="AT219" i="76"/>
  <c r="AT280" i="76"/>
  <c r="AT146" i="76"/>
  <c r="AT164" i="76"/>
  <c r="AT151" i="76"/>
  <c r="AT231" i="76"/>
  <c r="AT35" i="76"/>
  <c r="AT156" i="76"/>
  <c r="AT76" i="76"/>
  <c r="AT217" i="76"/>
  <c r="AT58" i="76"/>
  <c r="AT252" i="76"/>
  <c r="AT64" i="76"/>
  <c r="AT269" i="76"/>
  <c r="AT74" i="76"/>
  <c r="AT326" i="76"/>
  <c r="AT244" i="76"/>
  <c r="AT56" i="76"/>
  <c r="AT54" i="76"/>
  <c r="AT245" i="76"/>
  <c r="AT278" i="76"/>
  <c r="AT333" i="76"/>
  <c r="AT258" i="76"/>
  <c r="AT254" i="76"/>
  <c r="AT320" i="76"/>
  <c r="AT39" i="76"/>
  <c r="AT268" i="76"/>
  <c r="AT203" i="76"/>
  <c r="AT12" i="76"/>
  <c r="AT183" i="76"/>
  <c r="AT166" i="76"/>
  <c r="AT229" i="76"/>
  <c r="AT263" i="76"/>
  <c r="AT126" i="76"/>
  <c r="AT21" i="76"/>
  <c r="AT95" i="76"/>
  <c r="AT193" i="76"/>
  <c r="AT181" i="76"/>
  <c r="AT206" i="76"/>
  <c r="AT116" i="76"/>
  <c r="AT163" i="76"/>
  <c r="AT220" i="76"/>
  <c r="AT20" i="76"/>
  <c r="AT215" i="76"/>
  <c r="AT196" i="76"/>
  <c r="AT267" i="76"/>
  <c r="AT171" i="76"/>
  <c r="AT48" i="76"/>
  <c r="AT28" i="76"/>
  <c r="AT264" i="76"/>
  <c r="AT162" i="76"/>
  <c r="AT334" i="76"/>
  <c r="AT259" i="76"/>
  <c r="AT77" i="76"/>
  <c r="AT301" i="76"/>
  <c r="AT303" i="76"/>
  <c r="AT339" i="76"/>
  <c r="AT257" i="76"/>
  <c r="AT331" i="76"/>
  <c r="AT228" i="76"/>
  <c r="AT153" i="76"/>
  <c r="AT103" i="76"/>
  <c r="AT29" i="76"/>
  <c r="AT68" i="76"/>
  <c r="AT114" i="76"/>
  <c r="AT36" i="76"/>
  <c r="AT57" i="76"/>
  <c r="AT112" i="76"/>
  <c r="AT319" i="76"/>
  <c r="AT142" i="76"/>
  <c r="AT205" i="76"/>
  <c r="AT115" i="76"/>
  <c r="AT147" i="76"/>
  <c r="AT270" i="76"/>
  <c r="AT122" i="76"/>
  <c r="AT172" i="76"/>
  <c r="AT304" i="76"/>
  <c r="AT302" i="76"/>
  <c r="AT106" i="76"/>
  <c r="AT338" i="76"/>
  <c r="AT34" i="76"/>
  <c r="AT55" i="76"/>
  <c r="AT65" i="76"/>
  <c r="AT246" i="76"/>
  <c r="AT148" i="76"/>
  <c r="AT44" i="76"/>
  <c r="AT38" i="76"/>
  <c r="AT201" i="76"/>
  <c r="AT221" i="76"/>
  <c r="AT279" i="76"/>
  <c r="AT309" i="76"/>
  <c r="AT131" i="76"/>
  <c r="AT145" i="76"/>
  <c r="AT159" i="76"/>
  <c r="AT165" i="76"/>
  <c r="AT256" i="76"/>
  <c r="AT133" i="76"/>
  <c r="AT45" i="76"/>
  <c r="AT182" i="76"/>
  <c r="AT265" i="76"/>
  <c r="AT47" i="76"/>
  <c r="AT93" i="76"/>
  <c r="AT247" i="76"/>
  <c r="AT87" i="76"/>
  <c r="AT121" i="76"/>
  <c r="AT67" i="76"/>
  <c r="AT123" i="76"/>
  <c r="AT185" i="76"/>
  <c r="AT104" i="76"/>
  <c r="AT190" i="76"/>
  <c r="AT218" i="76"/>
  <c r="AT194" i="76"/>
  <c r="AT253" i="76"/>
  <c r="AT110" i="76"/>
  <c r="AT236" i="76"/>
  <c r="AT124" i="76"/>
  <c r="AT179" i="76"/>
  <c r="AT152" i="76"/>
  <c r="AT144" i="76"/>
  <c r="AT325" i="76"/>
  <c r="AT30" i="76"/>
  <c r="AT125" i="76"/>
  <c r="AT216" i="76"/>
  <c r="AT158" i="76"/>
  <c r="AT59" i="76"/>
  <c r="AT78" i="76"/>
  <c r="AT321" i="76"/>
  <c r="AT332" i="76"/>
  <c r="AT200" i="76"/>
  <c r="AT226" i="76"/>
  <c r="AT328" i="76"/>
  <c r="AT94" i="76"/>
  <c r="AT341" i="76"/>
  <c r="AT157" i="76"/>
  <c r="AT69" i="76"/>
  <c r="AT262" i="76"/>
  <c r="AT105" i="76"/>
  <c r="AT26" i="76"/>
  <c r="AT37" i="76"/>
  <c r="AT75" i="76"/>
  <c r="AT86" i="76"/>
  <c r="AT111" i="76"/>
  <c r="AT120" i="76"/>
  <c r="AT323" i="76"/>
  <c r="AT299" i="76"/>
  <c r="AT204" i="76"/>
  <c r="AT66" i="76"/>
  <c r="AT73" i="76"/>
  <c r="AT340" i="76"/>
  <c r="AT149" i="76"/>
  <c r="AT167" i="76"/>
  <c r="AT202" i="76"/>
  <c r="AT322" i="76"/>
  <c r="AT191" i="76"/>
  <c r="AT13" i="76"/>
  <c r="AT327" i="76"/>
  <c r="AT300" i="76"/>
  <c r="AT143" i="76"/>
  <c r="AT255" i="76"/>
  <c r="AT207" i="76"/>
  <c r="AT266" i="76"/>
  <c r="AT324" i="76"/>
  <c r="AT160" i="76"/>
  <c r="AT230" i="76"/>
  <c r="AT173" i="76"/>
  <c r="AT195" i="76"/>
  <c r="AT102" i="76"/>
  <c r="AT22" i="76"/>
  <c r="AT192" i="76"/>
  <c r="AT184" i="76"/>
  <c r="AT130" i="76"/>
  <c r="AT132" i="76"/>
  <c r="AT46" i="76"/>
  <c r="AT150" i="76"/>
  <c r="AT235" i="76"/>
  <c r="K27" i="104"/>
  <c r="AJ156" i="76"/>
  <c r="AJ162" i="76"/>
  <c r="AJ245" i="76"/>
  <c r="AJ184" i="76"/>
  <c r="AJ166" i="76"/>
  <c r="AJ170" i="76"/>
  <c r="AJ331" i="76"/>
  <c r="AJ164" i="76"/>
  <c r="AJ194" i="76"/>
  <c r="AJ57" i="76"/>
  <c r="AJ301" i="76"/>
  <c r="AJ267" i="76"/>
  <c r="AJ332" i="76"/>
  <c r="AJ20" i="76"/>
  <c r="AJ339" i="76"/>
  <c r="AJ149" i="76"/>
  <c r="AJ12" i="76"/>
  <c r="AJ228" i="76"/>
  <c r="AJ56" i="76"/>
  <c r="AJ116" i="76"/>
  <c r="AJ279" i="76"/>
  <c r="AJ148" i="76"/>
  <c r="AJ111" i="76"/>
  <c r="AJ231" i="76"/>
  <c r="AJ216" i="76"/>
  <c r="AJ203" i="76"/>
  <c r="AJ66" i="76"/>
  <c r="AJ253" i="76"/>
  <c r="AJ226" i="76"/>
  <c r="AJ160" i="76"/>
  <c r="AJ38" i="76"/>
  <c r="AJ27" i="76"/>
  <c r="AJ159" i="76"/>
  <c r="AJ185" i="76"/>
  <c r="AJ126" i="76"/>
  <c r="AJ122" i="76"/>
  <c r="AJ195" i="76"/>
  <c r="AJ193" i="76"/>
  <c r="AJ110" i="76"/>
  <c r="AJ131" i="76"/>
  <c r="AJ78" i="76"/>
  <c r="AJ256" i="76"/>
  <c r="AJ206" i="76"/>
  <c r="AJ324" i="76"/>
  <c r="AJ173" i="76"/>
  <c r="AJ23" i="76"/>
  <c r="AJ201" i="76"/>
  <c r="AJ333" i="76"/>
  <c r="AJ328" i="76"/>
  <c r="AJ219" i="76"/>
  <c r="AJ196" i="76"/>
  <c r="AJ247" i="76"/>
  <c r="AJ258" i="76"/>
  <c r="AJ150" i="76"/>
  <c r="AJ73" i="76"/>
  <c r="AJ157" i="76"/>
  <c r="AJ112" i="76"/>
  <c r="AJ85" i="76"/>
  <c r="AJ151" i="76"/>
  <c r="AJ183" i="76"/>
  <c r="AJ113" i="76"/>
  <c r="AJ93" i="76"/>
  <c r="AJ102" i="76"/>
  <c r="AJ341" i="76"/>
  <c r="AJ182" i="76"/>
  <c r="AJ22" i="76"/>
  <c r="AJ192" i="76"/>
  <c r="AJ45" i="76"/>
  <c r="AJ326" i="76"/>
  <c r="AJ215" i="76"/>
  <c r="AJ278" i="76"/>
  <c r="AJ35" i="76"/>
  <c r="AJ268" i="76"/>
  <c r="AJ229" i="76"/>
  <c r="AJ338" i="76"/>
  <c r="AJ26" i="76"/>
  <c r="AJ309" i="76"/>
  <c r="AJ121" i="76"/>
  <c r="AJ319" i="76"/>
  <c r="L24" i="70"/>
  <c r="AJ220" i="76"/>
  <c r="AJ321" i="76"/>
  <c r="AJ125" i="76"/>
  <c r="AJ11" i="76"/>
  <c r="AJ322" i="76"/>
  <c r="AJ204" i="76"/>
  <c r="AJ217" i="76"/>
  <c r="AJ221" i="76"/>
  <c r="AJ21" i="76"/>
  <c r="AJ218" i="76"/>
  <c r="AJ230" i="76"/>
  <c r="AJ270" i="76"/>
  <c r="AJ263" i="76"/>
  <c r="AJ36" i="76"/>
  <c r="AJ105" i="76"/>
  <c r="AJ67" i="76"/>
  <c r="AJ163" i="76"/>
  <c r="AJ95" i="76"/>
  <c r="AJ84" i="76"/>
  <c r="AJ302" i="76"/>
  <c r="AJ235" i="76"/>
  <c r="AJ244" i="76"/>
  <c r="AJ171" i="76"/>
  <c r="AJ103" i="76"/>
  <c r="AJ181" i="76"/>
  <c r="AJ146" i="76"/>
  <c r="AJ225" i="76"/>
  <c r="AJ64" i="76"/>
  <c r="AJ77" i="76"/>
  <c r="AJ39" i="76"/>
  <c r="AJ304" i="76"/>
  <c r="AJ227" i="76"/>
  <c r="AJ46" i="76"/>
  <c r="AJ34" i="76"/>
  <c r="AJ86" i="76"/>
  <c r="AJ28" i="76"/>
  <c r="AJ172" i="76"/>
  <c r="AJ334" i="76"/>
  <c r="AJ246" i="76"/>
  <c r="AJ104" i="76"/>
  <c r="AJ252" i="76"/>
  <c r="AJ325" i="76"/>
  <c r="AJ327" i="76"/>
  <c r="AJ54" i="76"/>
  <c r="AJ269" i="76"/>
  <c r="AJ202" i="76"/>
  <c r="AJ142" i="76"/>
  <c r="AJ180" i="76"/>
  <c r="AJ133" i="76"/>
  <c r="AJ147" i="76"/>
  <c r="AJ340" i="76"/>
  <c r="AJ132" i="76"/>
  <c r="AJ37" i="76"/>
  <c r="AJ200" i="76"/>
  <c r="AJ76" i="76"/>
  <c r="AJ303" i="76"/>
  <c r="AJ190" i="76"/>
  <c r="AJ114" i="76"/>
  <c r="AJ120" i="76"/>
  <c r="AJ207" i="76"/>
  <c r="AJ266" i="76"/>
  <c r="AJ158" i="76"/>
  <c r="AJ257" i="76"/>
  <c r="AJ145" i="76"/>
  <c r="AJ13" i="76"/>
  <c r="AJ262" i="76"/>
  <c r="AJ323" i="76"/>
  <c r="AJ320" i="76"/>
  <c r="AJ280" i="76"/>
  <c r="AJ29" i="76"/>
  <c r="AJ143" i="76"/>
  <c r="AJ179" i="76"/>
  <c r="AJ259" i="76"/>
  <c r="AJ30" i="76"/>
  <c r="AJ44" i="76"/>
  <c r="AJ68" i="76"/>
  <c r="AJ265" i="76"/>
  <c r="AJ254" i="76"/>
  <c r="AJ75" i="76"/>
  <c r="AJ58" i="76"/>
  <c r="AJ59" i="76"/>
  <c r="AJ167" i="76"/>
  <c r="AJ115" i="76"/>
  <c r="AJ144" i="76"/>
  <c r="AJ124" i="76"/>
  <c r="AJ129" i="76"/>
  <c r="AJ14" i="76"/>
  <c r="AJ106" i="76"/>
  <c r="AJ165" i="76"/>
  <c r="AJ236" i="76"/>
  <c r="AJ191" i="76"/>
  <c r="AJ205" i="76"/>
  <c r="AJ69" i="76"/>
  <c r="AJ55" i="76"/>
  <c r="AJ130" i="76"/>
  <c r="AJ47" i="76"/>
  <c r="AJ74" i="76"/>
  <c r="AJ109" i="76"/>
  <c r="AJ87" i="76"/>
  <c r="AJ94" i="76"/>
  <c r="AJ299" i="76"/>
  <c r="AJ300" i="76"/>
  <c r="AJ255" i="76"/>
  <c r="AJ65" i="76"/>
  <c r="AJ153" i="76"/>
  <c r="AJ48" i="76"/>
  <c r="AJ161" i="76"/>
  <c r="AJ123" i="76"/>
  <c r="AJ152" i="76"/>
  <c r="AJ264" i="76"/>
  <c r="K23" i="81"/>
  <c r="I84" i="63"/>
  <c r="I80" i="63" s="1"/>
  <c r="G25" i="70" s="1"/>
  <c r="I25" i="70" s="1"/>
  <c r="J25" i="70" s="1"/>
  <c r="K25" i="70" s="1"/>
  <c r="G133" i="63"/>
  <c r="J27" i="104"/>
  <c r="K14" i="81"/>
  <c r="H9" i="81"/>
  <c r="I9" i="81" s="1"/>
  <c r="J9" i="81" s="1"/>
  <c r="K9" i="81" s="1"/>
  <c r="G7" i="81"/>
  <c r="I7" i="81" s="1"/>
  <c r="J7" i="81" s="1"/>
  <c r="K7" i="81" s="1"/>
  <c r="K6" i="81" s="1"/>
  <c r="I41" i="81"/>
  <c r="J41" i="81" s="1"/>
  <c r="K41" i="81" s="1"/>
  <c r="I40" i="81"/>
  <c r="J40" i="81" s="1"/>
  <c r="K40" i="81" s="1"/>
  <c r="M29" i="88"/>
  <c r="O11" i="82"/>
  <c r="N19" i="82"/>
  <c r="N21" i="82" s="1"/>
  <c r="I166" i="63"/>
  <c r="H41" i="70"/>
  <c r="M6" i="104"/>
  <c r="M5" i="104" s="1"/>
  <c r="L5" i="104"/>
  <c r="P33" i="70" l="1"/>
  <c r="L27" i="104"/>
  <c r="M26" i="104"/>
  <c r="M25" i="104" s="1"/>
  <c r="M27" i="104" s="1"/>
  <c r="L25" i="70"/>
  <c r="L53" i="70"/>
  <c r="L45" i="70"/>
  <c r="L48" i="70"/>
  <c r="I133" i="63"/>
  <c r="I130" i="63" s="1"/>
  <c r="G151" i="63"/>
  <c r="I151" i="63" s="1"/>
  <c r="I148" i="63" s="1"/>
  <c r="G140" i="63"/>
  <c r="N22" i="82"/>
  <c r="I173" i="63"/>
  <c r="H42" i="70"/>
  <c r="G39" i="70" l="1"/>
  <c r="G22" i="95" s="1"/>
  <c r="I22" i="95" s="1"/>
  <c r="J22" i="95" s="1"/>
  <c r="K22" i="95" s="1"/>
  <c r="L22" i="95" s="1"/>
  <c r="G35" i="70"/>
  <c r="I35" i="70" s="1"/>
  <c r="I140" i="63"/>
  <c r="I137" i="63" s="1"/>
  <c r="G158" i="63"/>
  <c r="H43" i="70"/>
  <c r="R13" i="70" s="1"/>
  <c r="E29" i="81" l="1"/>
  <c r="F29" i="81" s="1"/>
  <c r="H29" i="81" s="1"/>
  <c r="I39" i="70"/>
  <c r="J35" i="70"/>
  <c r="G36" i="70"/>
  <c r="I158" i="63"/>
  <c r="I155" i="63" s="1"/>
  <c r="G164" i="63"/>
  <c r="H23" i="95"/>
  <c r="G29" i="81" l="1"/>
  <c r="I29" i="81" s="1"/>
  <c r="J29" i="81" s="1"/>
  <c r="K29" i="81" s="1"/>
  <c r="K35" i="70"/>
  <c r="P35" i="70" s="1"/>
  <c r="J39" i="70"/>
  <c r="E33" i="81"/>
  <c r="F33" i="81" s="1"/>
  <c r="H33" i="81" s="1"/>
  <c r="I36" i="70"/>
  <c r="G41" i="70"/>
  <c r="I41" i="70" s="1"/>
  <c r="J41" i="70" s="1"/>
  <c r="K41" i="70" s="1"/>
  <c r="P41" i="70" s="1"/>
  <c r="G170" i="63"/>
  <c r="I170" i="63" s="1"/>
  <c r="I167" i="63" s="1"/>
  <c r="I164" i="63"/>
  <c r="I161" i="63" s="1"/>
  <c r="L35" i="70" l="1"/>
  <c r="K39" i="70"/>
  <c r="L39" i="70" s="1"/>
  <c r="G33" i="81"/>
  <c r="I33" i="81" s="1"/>
  <c r="J33" i="81" s="1"/>
  <c r="K33" i="81" s="1"/>
  <c r="K31" i="81" s="1"/>
  <c r="L41" i="70"/>
  <c r="J48" i="58"/>
  <c r="L49" i="58" s="1"/>
  <c r="G42" i="70"/>
  <c r="I42" i="70" s="1"/>
  <c r="E36" i="81" s="1"/>
  <c r="F36" i="81" s="1"/>
  <c r="H36" i="81" s="1"/>
  <c r="G43" i="70"/>
  <c r="E35" i="81"/>
  <c r="F35" i="81" s="1"/>
  <c r="E30" i="81"/>
  <c r="J36" i="70"/>
  <c r="K36" i="70" s="1"/>
  <c r="L36" i="70" s="1"/>
  <c r="AV221" i="76"/>
  <c r="AX221" i="76" s="1"/>
  <c r="AY221" i="76" s="1"/>
  <c r="AV185" i="76"/>
  <c r="AX185" i="76" s="1"/>
  <c r="AY185" i="76" s="1"/>
  <c r="AV183" i="76"/>
  <c r="AX183" i="76" s="1"/>
  <c r="AY183" i="76" s="1"/>
  <c r="AV171" i="76"/>
  <c r="AX171" i="76" s="1"/>
  <c r="AY171" i="76" s="1"/>
  <c r="AV236" i="76"/>
  <c r="AX236" i="76" s="1"/>
  <c r="AY236" i="76" s="1"/>
  <c r="AV26" i="76"/>
  <c r="AX26" i="76" s="1"/>
  <c r="AY26" i="76" s="1"/>
  <c r="AV206" i="76"/>
  <c r="AX206" i="76" s="1"/>
  <c r="AY206" i="76" s="1"/>
  <c r="AV45" i="76"/>
  <c r="AX45" i="76" s="1"/>
  <c r="AY45" i="76" s="1"/>
  <c r="AV23" i="76"/>
  <c r="AX23" i="76" s="1"/>
  <c r="AY23" i="76" s="1"/>
  <c r="AV150" i="76"/>
  <c r="AX150" i="76" s="1"/>
  <c r="AY150" i="76" s="1"/>
  <c r="AV299" i="76"/>
  <c r="AX299" i="76" s="1"/>
  <c r="AY299" i="76" s="1"/>
  <c r="AV39" i="76"/>
  <c r="AX39" i="76" s="1"/>
  <c r="AY39" i="76" s="1"/>
  <c r="AV106" i="76"/>
  <c r="AX106" i="76" s="1"/>
  <c r="AY106" i="76" s="1"/>
  <c r="AV125" i="76"/>
  <c r="AX125" i="76" s="1"/>
  <c r="AY125" i="76" s="1"/>
  <c r="AV321" i="76"/>
  <c r="AX321" i="76" s="1"/>
  <c r="AY321" i="76" s="1"/>
  <c r="AV164" i="76"/>
  <c r="AX164" i="76" s="1"/>
  <c r="AY164" i="76" s="1"/>
  <c r="AV278" i="76"/>
  <c r="AX278" i="76" s="1"/>
  <c r="AY278" i="76" s="1"/>
  <c r="AV220" i="76"/>
  <c r="AX220" i="76" s="1"/>
  <c r="AY220" i="76" s="1"/>
  <c r="AV113" i="76"/>
  <c r="AX113" i="76" s="1"/>
  <c r="AY113" i="76" s="1"/>
  <c r="AV78" i="76"/>
  <c r="AX78" i="76" s="1"/>
  <c r="AY78" i="76" s="1"/>
  <c r="AV126" i="76"/>
  <c r="AX126" i="76" s="1"/>
  <c r="AY126" i="76" s="1"/>
  <c r="AV56" i="76"/>
  <c r="AX56" i="76" s="1"/>
  <c r="AY56" i="76" s="1"/>
  <c r="AV149" i="76"/>
  <c r="AX149" i="76" s="1"/>
  <c r="AY149" i="76" s="1"/>
  <c r="AV304" i="76"/>
  <c r="AX304" i="76" s="1"/>
  <c r="AY304" i="76" s="1"/>
  <c r="AV192" i="76"/>
  <c r="AX192" i="76" s="1"/>
  <c r="AY192" i="76" s="1"/>
  <c r="AV205" i="76"/>
  <c r="AX205" i="76" s="1"/>
  <c r="AY205" i="76" s="1"/>
  <c r="AV253" i="76"/>
  <c r="AX253" i="76" s="1"/>
  <c r="AY253" i="76" s="1"/>
  <c r="AV216" i="76"/>
  <c r="AX216" i="76" s="1"/>
  <c r="AY216" i="76" s="1"/>
  <c r="AV338" i="76"/>
  <c r="AX338" i="76" s="1"/>
  <c r="AY338" i="76" s="1"/>
  <c r="AV75" i="76"/>
  <c r="AX75" i="76" s="1"/>
  <c r="AY75" i="76" s="1"/>
  <c r="AV280" i="76"/>
  <c r="AX280" i="76" s="1"/>
  <c r="AY280" i="76" s="1"/>
  <c r="AV203" i="76"/>
  <c r="AX203" i="76" s="1"/>
  <c r="AY203" i="76" s="1"/>
  <c r="AV76" i="76"/>
  <c r="AX76" i="76" s="1"/>
  <c r="AY76" i="76" s="1"/>
  <c r="AV172" i="76"/>
  <c r="AX172" i="76" s="1"/>
  <c r="AY172" i="76" s="1"/>
  <c r="AV179" i="76"/>
  <c r="AX179" i="76" s="1"/>
  <c r="AY179" i="76" s="1"/>
  <c r="AV170" i="76"/>
  <c r="AX170" i="76" s="1"/>
  <c r="AY170" i="76" s="1"/>
  <c r="AV324" i="76"/>
  <c r="AX324" i="76" s="1"/>
  <c r="AY324" i="76" s="1"/>
  <c r="AV131" i="76"/>
  <c r="AX131" i="76" s="1"/>
  <c r="AY131" i="76" s="1"/>
  <c r="AV132" i="76"/>
  <c r="AX132" i="76" s="1"/>
  <c r="AY132" i="76" s="1"/>
  <c r="AV166" i="76"/>
  <c r="AX166" i="76" s="1"/>
  <c r="AY166" i="76" s="1"/>
  <c r="AV340" i="76"/>
  <c r="AX340" i="76" s="1"/>
  <c r="AY340" i="76" s="1"/>
  <c r="AV57" i="76"/>
  <c r="AX57" i="76" s="1"/>
  <c r="AY57" i="76" s="1"/>
  <c r="AV262" i="76"/>
  <c r="AX262" i="76" s="1"/>
  <c r="AY262" i="76" s="1"/>
  <c r="AV85" i="76"/>
  <c r="AX85" i="76" s="1"/>
  <c r="AY85" i="76" s="1"/>
  <c r="AV267" i="76"/>
  <c r="AX267" i="76" s="1"/>
  <c r="AY267" i="76" s="1"/>
  <c r="AV173" i="76"/>
  <c r="AX173" i="76" s="1"/>
  <c r="AY173" i="76" s="1"/>
  <c r="AV116" i="76"/>
  <c r="AX116" i="76" s="1"/>
  <c r="AY116" i="76" s="1"/>
  <c r="AV29" i="76"/>
  <c r="AX29" i="76" s="1"/>
  <c r="AY29" i="76" s="1"/>
  <c r="AV195" i="76"/>
  <c r="AX195" i="76" s="1"/>
  <c r="AY195" i="76" s="1"/>
  <c r="AV325" i="76"/>
  <c r="AX325" i="76" s="1"/>
  <c r="AY325" i="76" s="1"/>
  <c r="AV270" i="76"/>
  <c r="AX270" i="76" s="1"/>
  <c r="AY270" i="76" s="1"/>
  <c r="AV109" i="76"/>
  <c r="AX109" i="76" s="1"/>
  <c r="AY109" i="76" s="1"/>
  <c r="AV38" i="76"/>
  <c r="AX38" i="76" s="1"/>
  <c r="AY38" i="76" s="1"/>
  <c r="AV269" i="76"/>
  <c r="AX269" i="76" s="1"/>
  <c r="AY269" i="76" s="1"/>
  <c r="AV110" i="76"/>
  <c r="AX110" i="76" s="1"/>
  <c r="AY110" i="76" s="1"/>
  <c r="AV227" i="76"/>
  <c r="AX227" i="76" s="1"/>
  <c r="AY227" i="76" s="1"/>
  <c r="AV64" i="76"/>
  <c r="AX64" i="76" s="1"/>
  <c r="AY64" i="76" s="1"/>
  <c r="AV167" i="76"/>
  <c r="AX167" i="76" s="1"/>
  <c r="AY167" i="76" s="1"/>
  <c r="AV182" i="76"/>
  <c r="AX182" i="76" s="1"/>
  <c r="AY182" i="76" s="1"/>
  <c r="AV152" i="76"/>
  <c r="AX152" i="76" s="1"/>
  <c r="AY152" i="76" s="1"/>
  <c r="AV322" i="76"/>
  <c r="AX322" i="76" s="1"/>
  <c r="AY322" i="76" s="1"/>
  <c r="AV162" i="76"/>
  <c r="AX162" i="76" s="1"/>
  <c r="AY162" i="76" s="1"/>
  <c r="AV327" i="76"/>
  <c r="AX327" i="76" s="1"/>
  <c r="AY327" i="76" s="1"/>
  <c r="AV27" i="76"/>
  <c r="AX27" i="76" s="1"/>
  <c r="AY27" i="76" s="1"/>
  <c r="AV13" i="76"/>
  <c r="AX13" i="76" s="1"/>
  <c r="AY13" i="76" s="1"/>
  <c r="AV229" i="76"/>
  <c r="AX229" i="76" s="1"/>
  <c r="AY229" i="76" s="1"/>
  <c r="AV144" i="76"/>
  <c r="AX144" i="76" s="1"/>
  <c r="AY144" i="76" s="1"/>
  <c r="AV30" i="76"/>
  <c r="AX30" i="76" s="1"/>
  <c r="AY30" i="76" s="1"/>
  <c r="AV254" i="76"/>
  <c r="AX254" i="76" s="1"/>
  <c r="AY254" i="76" s="1"/>
  <c r="AV246" i="76"/>
  <c r="AX246" i="76" s="1"/>
  <c r="AY246" i="76" s="1"/>
  <c r="AV22" i="76"/>
  <c r="AX22" i="76" s="1"/>
  <c r="AY22" i="76" s="1"/>
  <c r="AV129" i="76"/>
  <c r="AX129" i="76" s="1"/>
  <c r="AY129" i="76" s="1"/>
  <c r="AV303" i="76"/>
  <c r="AX303" i="76" s="1"/>
  <c r="AY303" i="76" s="1"/>
  <c r="AV244" i="76"/>
  <c r="AX244" i="76" s="1"/>
  <c r="AY244" i="76" s="1"/>
  <c r="AV14" i="76"/>
  <c r="AX14" i="76" s="1"/>
  <c r="AY14" i="76" s="1"/>
  <c r="AV35" i="76"/>
  <c r="AX35" i="76" s="1"/>
  <c r="AY35" i="76" s="1"/>
  <c r="AV258" i="76"/>
  <c r="AX258" i="76" s="1"/>
  <c r="AY258" i="76" s="1"/>
  <c r="AV165" i="76"/>
  <c r="AX165" i="76" s="1"/>
  <c r="AY165" i="76" s="1"/>
  <c r="AV74" i="76"/>
  <c r="AX74" i="76" s="1"/>
  <c r="AY74" i="76" s="1"/>
  <c r="AV86" i="76"/>
  <c r="AX86" i="76" s="1"/>
  <c r="AY86" i="76" s="1"/>
  <c r="AV158" i="76"/>
  <c r="AX158" i="76" s="1"/>
  <c r="AY158" i="76" s="1"/>
  <c r="AV217" i="76"/>
  <c r="AX217" i="76" s="1"/>
  <c r="AY217" i="76" s="1"/>
  <c r="AV44" i="76"/>
  <c r="AX44" i="76" s="1"/>
  <c r="AY44" i="76" s="1"/>
  <c r="AV120" i="76"/>
  <c r="AX120" i="76" s="1"/>
  <c r="AY120" i="76" s="1"/>
  <c r="AV235" i="76"/>
  <c r="AX235" i="76" s="1"/>
  <c r="AY235" i="76" s="1"/>
  <c r="AV191" i="76"/>
  <c r="AX191" i="76" s="1"/>
  <c r="AY191" i="76" s="1"/>
  <c r="AV207" i="76"/>
  <c r="AX207" i="76" s="1"/>
  <c r="AY207" i="76" s="1"/>
  <c r="AV252" i="76"/>
  <c r="AX252" i="76" s="1"/>
  <c r="AY252" i="76" s="1"/>
  <c r="AV334" i="76"/>
  <c r="AX334" i="76" s="1"/>
  <c r="AY334" i="76" s="1"/>
  <c r="AV146" i="76"/>
  <c r="AX146" i="76" s="1"/>
  <c r="AY146" i="76" s="1"/>
  <c r="AV114" i="76"/>
  <c r="AX114" i="76" s="1"/>
  <c r="AY114" i="76" s="1"/>
  <c r="AV326" i="76"/>
  <c r="AX326" i="76" s="1"/>
  <c r="AY326" i="76" s="1"/>
  <c r="AV181" i="76"/>
  <c r="AX181" i="76" s="1"/>
  <c r="AY181" i="76" s="1"/>
  <c r="AV65" i="76"/>
  <c r="AX65" i="76" s="1"/>
  <c r="AY65" i="76" s="1"/>
  <c r="AV200" i="76"/>
  <c r="AX200" i="76" s="1"/>
  <c r="AY200" i="76" s="1"/>
  <c r="AV21" i="76"/>
  <c r="AX21" i="76" s="1"/>
  <c r="AY21" i="76" s="1"/>
  <c r="AV319" i="76"/>
  <c r="AX319" i="76" s="1"/>
  <c r="AY319" i="76" s="1"/>
  <c r="AV58" i="76"/>
  <c r="AX58" i="76" s="1"/>
  <c r="AY58" i="76" s="1"/>
  <c r="AV309" i="76"/>
  <c r="AX309" i="76" s="1"/>
  <c r="AY309" i="76" s="1"/>
  <c r="AV302" i="76"/>
  <c r="AX302" i="76" s="1"/>
  <c r="AY302" i="76" s="1"/>
  <c r="AV77" i="76"/>
  <c r="AX77" i="76" s="1"/>
  <c r="AY77" i="76" s="1"/>
  <c r="AV112" i="76"/>
  <c r="AX112" i="76" s="1"/>
  <c r="AY112" i="76" s="1"/>
  <c r="AV11" i="76"/>
  <c r="AX11" i="76" s="1"/>
  <c r="AV84" i="76"/>
  <c r="AX84" i="76" s="1"/>
  <c r="AY84" i="76" s="1"/>
  <c r="AV133" i="76"/>
  <c r="AX133" i="76" s="1"/>
  <c r="AV194" i="76"/>
  <c r="AX194" i="76" s="1"/>
  <c r="AY194" i="76" s="1"/>
  <c r="AV193" i="76"/>
  <c r="AX193" i="76" s="1"/>
  <c r="AY193" i="76" s="1"/>
  <c r="AV215" i="76"/>
  <c r="AX215" i="76" s="1"/>
  <c r="AY215" i="76" s="1"/>
  <c r="AV255" i="76"/>
  <c r="AX255" i="76" s="1"/>
  <c r="AY255" i="76" s="1"/>
  <c r="AV69" i="76"/>
  <c r="AX69" i="76" s="1"/>
  <c r="AY69" i="76" s="1"/>
  <c r="AV228" i="76"/>
  <c r="AX228" i="76" s="1"/>
  <c r="AY228" i="76" s="1"/>
  <c r="AV180" i="76"/>
  <c r="AX180" i="76" s="1"/>
  <c r="AY180" i="76" s="1"/>
  <c r="AV73" i="76"/>
  <c r="AX73" i="76" s="1"/>
  <c r="AY73" i="76" s="1"/>
  <c r="AV103" i="76"/>
  <c r="AX103" i="76" s="1"/>
  <c r="AY103" i="76" s="1"/>
  <c r="AV156" i="76"/>
  <c r="AX156" i="76" s="1"/>
  <c r="AY156" i="76" s="1"/>
  <c r="AV301" i="76"/>
  <c r="AX301" i="76" s="1"/>
  <c r="AY301" i="76" s="1"/>
  <c r="AV159" i="76"/>
  <c r="AX159" i="76" s="1"/>
  <c r="AY159" i="76" s="1"/>
  <c r="AV104" i="76"/>
  <c r="AX104" i="76" s="1"/>
  <c r="AY104" i="76" s="1"/>
  <c r="AV48" i="76"/>
  <c r="AX48" i="76" s="1"/>
  <c r="AY48" i="76" s="1"/>
  <c r="AV54" i="76"/>
  <c r="AX54" i="76" s="1"/>
  <c r="AY54" i="76" s="1"/>
  <c r="AV123" i="76"/>
  <c r="AX123" i="76" s="1"/>
  <c r="AY123" i="76" s="1"/>
  <c r="AV124" i="76"/>
  <c r="AX124" i="76" s="1"/>
  <c r="AY124" i="76" s="1"/>
  <c r="AV245" i="76"/>
  <c r="AX245" i="76" s="1"/>
  <c r="AY245" i="76" s="1"/>
  <c r="AV190" i="76"/>
  <c r="AX190" i="76" s="1"/>
  <c r="AY190" i="76" s="1"/>
  <c r="AV268" i="76"/>
  <c r="AX268" i="76" s="1"/>
  <c r="AY268" i="76" s="1"/>
  <c r="AV151" i="76"/>
  <c r="AX151" i="76" s="1"/>
  <c r="AY151" i="76" s="1"/>
  <c r="AV47" i="76"/>
  <c r="AX47" i="76" s="1"/>
  <c r="AY47" i="76" s="1"/>
  <c r="AV339" i="76"/>
  <c r="AX339" i="76" s="1"/>
  <c r="AY339" i="76" s="1"/>
  <c r="AV320" i="76"/>
  <c r="AX320" i="76" s="1"/>
  <c r="AY320" i="76" s="1"/>
  <c r="AV87" i="76"/>
  <c r="AX87" i="76" s="1"/>
  <c r="AY87" i="76" s="1"/>
  <c r="AV231" i="76"/>
  <c r="AX231" i="76" s="1"/>
  <c r="AY231" i="76" s="1"/>
  <c r="AV12" i="76"/>
  <c r="AX12" i="76" s="1"/>
  <c r="AY12" i="76" s="1"/>
  <c r="AV196" i="76"/>
  <c r="AX196" i="76" s="1"/>
  <c r="AY196" i="76" s="1"/>
  <c r="AV147" i="76"/>
  <c r="AX147" i="76" s="1"/>
  <c r="AY147" i="76" s="1"/>
  <c r="AV219" i="76"/>
  <c r="AX219" i="76" s="1"/>
  <c r="AY219" i="76" s="1"/>
  <c r="AV142" i="76"/>
  <c r="AX142" i="76" s="1"/>
  <c r="AY142" i="76" s="1"/>
  <c r="AV94" i="76"/>
  <c r="AX94" i="76" s="1"/>
  <c r="AY94" i="76" s="1"/>
  <c r="AV68" i="76"/>
  <c r="AX68" i="76" s="1"/>
  <c r="AY68" i="76" s="1"/>
  <c r="AV230" i="76"/>
  <c r="AX230" i="76" s="1"/>
  <c r="AY230" i="76" s="1"/>
  <c r="AV157" i="76"/>
  <c r="AX157" i="76" s="1"/>
  <c r="AY157" i="76" s="1"/>
  <c r="AV161" i="76"/>
  <c r="AX161" i="76" s="1"/>
  <c r="AY161" i="76" s="1"/>
  <c r="AV163" i="76"/>
  <c r="AX163" i="76" s="1"/>
  <c r="AY163" i="76" s="1"/>
  <c r="AV66" i="76"/>
  <c r="AX66" i="76" s="1"/>
  <c r="AY66" i="76" s="1"/>
  <c r="AV204" i="76"/>
  <c r="AX204" i="76" s="1"/>
  <c r="AY204" i="76" s="1"/>
  <c r="AV341" i="76"/>
  <c r="AX341" i="76" s="1"/>
  <c r="AY341" i="76" s="1"/>
  <c r="AV300" i="76"/>
  <c r="AX300" i="76" s="1"/>
  <c r="AY300" i="76" s="1"/>
  <c r="AV148" i="76"/>
  <c r="AX148" i="76" s="1"/>
  <c r="AY148" i="76" s="1"/>
  <c r="AV20" i="76"/>
  <c r="AX20" i="76" s="1"/>
  <c r="AY20" i="76" s="1"/>
  <c r="AV102" i="76"/>
  <c r="AX102" i="76" s="1"/>
  <c r="AY102" i="76" s="1"/>
  <c r="AV34" i="76"/>
  <c r="AX34" i="76" s="1"/>
  <c r="AY34" i="76" s="1"/>
  <c r="AV111" i="76"/>
  <c r="AX111" i="76" s="1"/>
  <c r="AY111" i="76" s="1"/>
  <c r="AV95" i="76"/>
  <c r="AX95" i="76" s="1"/>
  <c r="AY95" i="76" s="1"/>
  <c r="AV323" i="76"/>
  <c r="AX323" i="76" s="1"/>
  <c r="AY323" i="76" s="1"/>
  <c r="AV160" i="76"/>
  <c r="AX160" i="76" s="1"/>
  <c r="AY160" i="76" s="1"/>
  <c r="AV28" i="76"/>
  <c r="AX28" i="76" s="1"/>
  <c r="AY28" i="76" s="1"/>
  <c r="AV36" i="76"/>
  <c r="AX36" i="76" s="1"/>
  <c r="AY36" i="76" s="1"/>
  <c r="AV55" i="76"/>
  <c r="AX55" i="76" s="1"/>
  <c r="AY55" i="76" s="1"/>
  <c r="AV266" i="76"/>
  <c r="AX266" i="76" s="1"/>
  <c r="AY266" i="76" s="1"/>
  <c r="AV225" i="76"/>
  <c r="AX225" i="76" s="1"/>
  <c r="AY225" i="76" s="1"/>
  <c r="AV202" i="76"/>
  <c r="AX202" i="76" s="1"/>
  <c r="AY202" i="76" s="1"/>
  <c r="AV265" i="76"/>
  <c r="AX265" i="76" s="1"/>
  <c r="AY265" i="76" s="1"/>
  <c r="AV331" i="76"/>
  <c r="AX331" i="76" s="1"/>
  <c r="AY331" i="76" s="1"/>
  <c r="AV247" i="76"/>
  <c r="AX247" i="76" s="1"/>
  <c r="AY247" i="76" s="1"/>
  <c r="AV130" i="76"/>
  <c r="AX130" i="76" s="1"/>
  <c r="AY130" i="76" s="1"/>
  <c r="AV143" i="76"/>
  <c r="AX143" i="76" s="1"/>
  <c r="AY143" i="76" s="1"/>
  <c r="AV333" i="76"/>
  <c r="AX333" i="76" s="1"/>
  <c r="AY333" i="76" s="1"/>
  <c r="AV201" i="76"/>
  <c r="AX201" i="76" s="1"/>
  <c r="AY201" i="76" s="1"/>
  <c r="AV332" i="76"/>
  <c r="AX332" i="76" s="1"/>
  <c r="AY332" i="76" s="1"/>
  <c r="AV121" i="76"/>
  <c r="AX121" i="76" s="1"/>
  <c r="AY121" i="76" s="1"/>
  <c r="AV145" i="76"/>
  <c r="AX145" i="76" s="1"/>
  <c r="AY145" i="76" s="1"/>
  <c r="AV226" i="76"/>
  <c r="AX226" i="76" s="1"/>
  <c r="AY226" i="76" s="1"/>
  <c r="AV184" i="76"/>
  <c r="AX184" i="76" s="1"/>
  <c r="AY184" i="76" s="1"/>
  <c r="AV93" i="76"/>
  <c r="AX93" i="76" s="1"/>
  <c r="AY93" i="76" s="1"/>
  <c r="AV263" i="76"/>
  <c r="AX263" i="76" s="1"/>
  <c r="AY263" i="76" s="1"/>
  <c r="AV259" i="76"/>
  <c r="AX259" i="76" s="1"/>
  <c r="AY259" i="76" s="1"/>
  <c r="AV105" i="76"/>
  <c r="AX105" i="76" s="1"/>
  <c r="AY105" i="76" s="1"/>
  <c r="AV264" i="76"/>
  <c r="AX264" i="76" s="1"/>
  <c r="AY264" i="76" s="1"/>
  <c r="AV115" i="76"/>
  <c r="AX115" i="76" s="1"/>
  <c r="AY115" i="76" s="1"/>
  <c r="AV46" i="76"/>
  <c r="AX46" i="76" s="1"/>
  <c r="AY46" i="76" s="1"/>
  <c r="AV153" i="76"/>
  <c r="AX153" i="76" s="1"/>
  <c r="AY153" i="76" s="1"/>
  <c r="AV279" i="76"/>
  <c r="AX279" i="76" s="1"/>
  <c r="AY279" i="76" s="1"/>
  <c r="AV122" i="76"/>
  <c r="AX122" i="76" s="1"/>
  <c r="AY122" i="76" s="1"/>
  <c r="AV218" i="76"/>
  <c r="AX218" i="76" s="1"/>
  <c r="AY218" i="76" s="1"/>
  <c r="AV328" i="76"/>
  <c r="AX328" i="76" s="1"/>
  <c r="AY328" i="76" s="1"/>
  <c r="AV37" i="76"/>
  <c r="AX37" i="76" s="1"/>
  <c r="AY37" i="76" s="1"/>
  <c r="AV67" i="76"/>
  <c r="AX67" i="76" s="1"/>
  <c r="AY67" i="76" s="1"/>
  <c r="AV257" i="76"/>
  <c r="AX257" i="76" s="1"/>
  <c r="AY257" i="76" s="1"/>
  <c r="AV59" i="76"/>
  <c r="AX59" i="76" s="1"/>
  <c r="AY59" i="76" s="1"/>
  <c r="AV256" i="76"/>
  <c r="AX256" i="76" s="1"/>
  <c r="AY256" i="76" s="1"/>
  <c r="I43" i="70" l="1"/>
  <c r="E37" i="81" s="1"/>
  <c r="R12" i="70"/>
  <c r="P39" i="70"/>
  <c r="G36" i="81"/>
  <c r="I36" i="81" s="1"/>
  <c r="J36" i="81" s="1"/>
  <c r="K36" i="81" s="1"/>
  <c r="G23" i="95"/>
  <c r="I23" i="95" s="1"/>
  <c r="J23" i="95" s="1"/>
  <c r="K23" i="95" s="1"/>
  <c r="L23" i="95" s="1"/>
  <c r="F14" i="111"/>
  <c r="F30" i="81"/>
  <c r="J50" i="58"/>
  <c r="L50" i="58" s="1"/>
  <c r="J42" i="70"/>
  <c r="K42" i="70" s="1"/>
  <c r="P42" i="70" s="1"/>
  <c r="P36" i="70"/>
  <c r="G35" i="81"/>
  <c r="H35" i="81"/>
  <c r="J43" i="70"/>
  <c r="AY11" i="76"/>
  <c r="AY8" i="76" s="1"/>
  <c r="AY6" i="76" s="1"/>
  <c r="AX8" i="76"/>
  <c r="L42" i="70" l="1"/>
  <c r="H30" i="81"/>
  <c r="G30" i="81"/>
  <c r="I35" i="81"/>
  <c r="J35" i="81" s="1"/>
  <c r="K35" i="81" s="1"/>
  <c r="C29" i="111"/>
  <c r="D29" i="111" s="1"/>
  <c r="E29" i="111" s="1"/>
  <c r="F29" i="111" s="1"/>
  <c r="C32" i="111"/>
  <c r="D32" i="111" s="1"/>
  <c r="E32" i="111" s="1"/>
  <c r="F32" i="111" s="1"/>
  <c r="C31" i="111"/>
  <c r="D31" i="111" s="1"/>
  <c r="E31" i="111" s="1"/>
  <c r="F31" i="111" s="1"/>
  <c r="C30" i="111"/>
  <c r="D30" i="111" s="1"/>
  <c r="E30" i="111" s="1"/>
  <c r="F30" i="111" s="1"/>
  <c r="C33" i="111"/>
  <c r="D33" i="111" s="1"/>
  <c r="E33" i="111" s="1"/>
  <c r="F33" i="111" s="1"/>
  <c r="F12" i="111"/>
  <c r="C26" i="111" s="1"/>
  <c r="D26" i="111" s="1"/>
  <c r="E26" i="111" s="1"/>
  <c r="F26" i="111" s="1"/>
  <c r="F11" i="111"/>
  <c r="C25" i="111" s="1"/>
  <c r="D25" i="111" s="1"/>
  <c r="E25" i="111" s="1"/>
  <c r="F25" i="111" s="1"/>
  <c r="F37" i="81"/>
  <c r="K43" i="70"/>
  <c r="P43" i="70" s="1"/>
  <c r="P61" i="70" s="1"/>
  <c r="P62" i="70" s="1"/>
  <c r="P63" i="70" s="1"/>
  <c r="I30" i="81" l="1"/>
  <c r="J30" i="81" s="1"/>
  <c r="K30" i="81" s="1"/>
  <c r="K28" i="81" s="1"/>
  <c r="AU230" i="76"/>
  <c r="AU340" i="76"/>
  <c r="AU267" i="76"/>
  <c r="AU253" i="76"/>
  <c r="AU173" i="76"/>
  <c r="AU95" i="76"/>
  <c r="AU228" i="76"/>
  <c r="AU65" i="76"/>
  <c r="AU84" i="76"/>
  <c r="AU235" i="76"/>
  <c r="AU130" i="76"/>
  <c r="AU190" i="76"/>
  <c r="AU121" i="76"/>
  <c r="AU36" i="76"/>
  <c r="AU124" i="76"/>
  <c r="AU35" i="76"/>
  <c r="AU23" i="76"/>
  <c r="AU67" i="76"/>
  <c r="AU215" i="76"/>
  <c r="AU30" i="76"/>
  <c r="AU109" i="76"/>
  <c r="AU259" i="76"/>
  <c r="AU132" i="76"/>
  <c r="AU322" i="76"/>
  <c r="AU207" i="76"/>
  <c r="AU321" i="76"/>
  <c r="AU227" i="76"/>
  <c r="AU112" i="76"/>
  <c r="AU217" i="76"/>
  <c r="AU78" i="76"/>
  <c r="AU46" i="76"/>
  <c r="AU37" i="76"/>
  <c r="AU56" i="76"/>
  <c r="AU28" i="76"/>
  <c r="AU338" i="76"/>
  <c r="AU278" i="76"/>
  <c r="AU111" i="76"/>
  <c r="AU327" i="76"/>
  <c r="AU334" i="76"/>
  <c r="AU122" i="76"/>
  <c r="AU326" i="76"/>
  <c r="AU257" i="76"/>
  <c r="AU12" i="76"/>
  <c r="AU142" i="76"/>
  <c r="AU205" i="76"/>
  <c r="AU193" i="76"/>
  <c r="AU231" i="76"/>
  <c r="AU158" i="76"/>
  <c r="AU161" i="76"/>
  <c r="AU206" i="76"/>
  <c r="AU258" i="76"/>
  <c r="AU144" i="76"/>
  <c r="AU157" i="76"/>
  <c r="AU29" i="76"/>
  <c r="AU152" i="76"/>
  <c r="AU21" i="76"/>
  <c r="AU332" i="76"/>
  <c r="AU69" i="76"/>
  <c r="AU165" i="76"/>
  <c r="AU263" i="76"/>
  <c r="AU104" i="76"/>
  <c r="AU268" i="76"/>
  <c r="AU221" i="76"/>
  <c r="AU159" i="76"/>
  <c r="AU129" i="76"/>
  <c r="AU181" i="76"/>
  <c r="AU269" i="76"/>
  <c r="AU73" i="76"/>
  <c r="AU125" i="76"/>
  <c r="AU146" i="76"/>
  <c r="AU64" i="76"/>
  <c r="AU192" i="76"/>
  <c r="AU34" i="76"/>
  <c r="AU252" i="76"/>
  <c r="AU27" i="76"/>
  <c r="AU26" i="76"/>
  <c r="AU265" i="76"/>
  <c r="AU44" i="76"/>
  <c r="AU254" i="76"/>
  <c r="AU75" i="76"/>
  <c r="AU48" i="76"/>
  <c r="AU145" i="76"/>
  <c r="AU219" i="76"/>
  <c r="AU200" i="76"/>
  <c r="AU54" i="76"/>
  <c r="AU131" i="76"/>
  <c r="AU147" i="76"/>
  <c r="AU319" i="76"/>
  <c r="AU115" i="76"/>
  <c r="AU133" i="76"/>
  <c r="AU86" i="76"/>
  <c r="AU57" i="76"/>
  <c r="AU202" i="76"/>
  <c r="AU149" i="76"/>
  <c r="AU22" i="76"/>
  <c r="AU220" i="76"/>
  <c r="AU113" i="76"/>
  <c r="AU126" i="76"/>
  <c r="AU59" i="76"/>
  <c r="AU77" i="76"/>
  <c r="AU333" i="76"/>
  <c r="AU226" i="76"/>
  <c r="AU328" i="76"/>
  <c r="AU38" i="76"/>
  <c r="AU153" i="76"/>
  <c r="AU167" i="76"/>
  <c r="AU164" i="76"/>
  <c r="AU184" i="76"/>
  <c r="AU162" i="76"/>
  <c r="AU39" i="76"/>
  <c r="AU102" i="76"/>
  <c r="AU160" i="76"/>
  <c r="AU170" i="76"/>
  <c r="AU218" i="76"/>
  <c r="AU325" i="76"/>
  <c r="AU143" i="76"/>
  <c r="AU11" i="76"/>
  <c r="AU183" i="76"/>
  <c r="AU244" i="76"/>
  <c r="AU20" i="76"/>
  <c r="AU191" i="76"/>
  <c r="AU14" i="76"/>
  <c r="AU103" i="76"/>
  <c r="AU196" i="76"/>
  <c r="AU302" i="76"/>
  <c r="AU45" i="76"/>
  <c r="AU309" i="76"/>
  <c r="AU179" i="76"/>
  <c r="AU279" i="76"/>
  <c r="AU13" i="76"/>
  <c r="AU116" i="76"/>
  <c r="AU194" i="76"/>
  <c r="AU171" i="76"/>
  <c r="AU148" i="76"/>
  <c r="AU339" i="76"/>
  <c r="AU68" i="76"/>
  <c r="AU163" i="76"/>
  <c r="AU246" i="76"/>
  <c r="AU87" i="76"/>
  <c r="AU323" i="76"/>
  <c r="AU185" i="76"/>
  <c r="AU123" i="76"/>
  <c r="AU304" i="76"/>
  <c r="AU299" i="76"/>
  <c r="AU300" i="76"/>
  <c r="AU270" i="76"/>
  <c r="AU93" i="76"/>
  <c r="AU195" i="76"/>
  <c r="AU85" i="76"/>
  <c r="AU216" i="76"/>
  <c r="AU151" i="76"/>
  <c r="AU180" i="76"/>
  <c r="AU114" i="76"/>
  <c r="AU324" i="76"/>
  <c r="AU203" i="76"/>
  <c r="AU266" i="76"/>
  <c r="AU262" i="76"/>
  <c r="AU201" i="76"/>
  <c r="AU47" i="76"/>
  <c r="AU106" i="76"/>
  <c r="AU120" i="76"/>
  <c r="AU331" i="76"/>
  <c r="AU320" i="76"/>
  <c r="AU280" i="76"/>
  <c r="AU236" i="76"/>
  <c r="AU166" i="76"/>
  <c r="AU105" i="76"/>
  <c r="AU341" i="76"/>
  <c r="AU225" i="76"/>
  <c r="AU76" i="76"/>
  <c r="AU156" i="76"/>
  <c r="AU182" i="76"/>
  <c r="AU301" i="76"/>
  <c r="AU66" i="76"/>
  <c r="AU94" i="76"/>
  <c r="AU74" i="76"/>
  <c r="AU150" i="76"/>
  <c r="AU255" i="76"/>
  <c r="AU247" i="76"/>
  <c r="AU172" i="76"/>
  <c r="AU229" i="76"/>
  <c r="AU204" i="76"/>
  <c r="AU256" i="76"/>
  <c r="AU58" i="76"/>
  <c r="AU55" i="76"/>
  <c r="AU245" i="76"/>
  <c r="AU264" i="76"/>
  <c r="AU303" i="76"/>
  <c r="AU110" i="76"/>
  <c r="H37" i="81"/>
  <c r="G37" i="81"/>
  <c r="L43" i="70"/>
  <c r="I37" i="81" l="1"/>
  <c r="J37" i="81" s="1"/>
  <c r="K37" i="81" s="1"/>
  <c r="K34" i="81" s="1"/>
  <c r="K42" i="81" s="1"/>
</calcChain>
</file>

<file path=xl/comments1.xml><?xml version="1.0" encoding="utf-8"?>
<comments xmlns="http://schemas.openxmlformats.org/spreadsheetml/2006/main">
  <authors>
    <author>Chien</author>
  </authors>
  <commentList>
    <comment ref="E21" authorId="0">
      <text>
        <r>
          <rPr>
            <b/>
            <sz val="9"/>
            <color indexed="81"/>
            <rFont val="Tahoma"/>
            <family val="2"/>
            <charset val="163"/>
          </rPr>
          <t>Chien:</t>
        </r>
        <r>
          <rPr>
            <sz val="9"/>
            <color indexed="81"/>
            <rFont val="Tahoma"/>
            <family val="2"/>
            <charset val="163"/>
          </rPr>
          <t xml:space="preserve">
Quét 0,008; định vị bằng bổ sung hình thể</t>
        </r>
      </text>
    </comment>
  </commentList>
</comments>
</file>

<file path=xl/comments2.xml><?xml version="1.0" encoding="utf-8"?>
<comments xmlns="http://schemas.openxmlformats.org/spreadsheetml/2006/main">
  <authors>
    <author>Chien</author>
  </authors>
  <commentList>
    <comment ref="E24" authorId="0">
      <text>
        <r>
          <rPr>
            <b/>
            <sz val="9"/>
            <color indexed="81"/>
            <rFont val="Tahoma"/>
            <family val="2"/>
          </rPr>
          <t>Chien:</t>
        </r>
        <r>
          <rPr>
            <sz val="9"/>
            <color indexed="81"/>
            <rFont val="Tahoma"/>
            <family val="2"/>
          </rPr>
          <t xml:space="preserve">
Lấy bằng TT 18</t>
        </r>
      </text>
    </comment>
  </commentList>
</comments>
</file>

<file path=xl/sharedStrings.xml><?xml version="1.0" encoding="utf-8"?>
<sst xmlns="http://schemas.openxmlformats.org/spreadsheetml/2006/main" count="5126" uniqueCount="1140">
  <si>
    <t>Khấu hao /1 ca</t>
  </si>
  <si>
    <t>Thửa</t>
  </si>
  <si>
    <t>Danh mục dụng cụ</t>
  </si>
  <si>
    <t>Danh mục vật liệu</t>
  </si>
  <si>
    <t>Công suất
(kw/h)</t>
  </si>
  <si>
    <r>
      <t xml:space="preserve">Thời gian
SD máy
</t>
    </r>
    <r>
      <rPr>
        <sz val="12"/>
        <rFont val="Times New Roman"/>
        <family val="1"/>
      </rPr>
      <t>(năm)</t>
    </r>
  </si>
  <si>
    <t>Ghi chú</t>
  </si>
  <si>
    <t>Định biên</t>
  </si>
  <si>
    <t>Điện năng</t>
  </si>
  <si>
    <t>TT</t>
  </si>
  <si>
    <t>A</t>
  </si>
  <si>
    <t>B</t>
  </si>
  <si>
    <t>C</t>
  </si>
  <si>
    <t>PCTN</t>
  </si>
  <si>
    <t>STT</t>
  </si>
  <si>
    <t>Đơn giá
(đ/ca)</t>
  </si>
  <si>
    <t>Danh mục thiết bị</t>
  </si>
  <si>
    <t>Định mức</t>
  </si>
  <si>
    <t>Nguyên giá</t>
  </si>
  <si>
    <t>Thành tiền</t>
  </si>
  <si>
    <t>ĐVT</t>
  </si>
  <si>
    <t>Bút bi</t>
  </si>
  <si>
    <t>CHI PHÍ KHẤU HAO MÁY VÀ THIẾT BỊ</t>
  </si>
  <si>
    <t>Máy photocopy</t>
  </si>
  <si>
    <t>Điều hoà nhiệt độ</t>
  </si>
  <si>
    <t>Số</t>
  </si>
  <si>
    <t>cái</t>
  </si>
  <si>
    <t>Bàn làm việc</t>
  </si>
  <si>
    <t>Hệ số</t>
  </si>
  <si>
    <t>Lao động phổ thông</t>
  </si>
  <si>
    <t>Bậc việc</t>
  </si>
  <si>
    <t>Lương CB</t>
  </si>
  <si>
    <t>lương cb</t>
  </si>
  <si>
    <t>Lương phụ</t>
  </si>
  <si>
    <t>Bình quân</t>
  </si>
  <si>
    <t>Tổng cộng</t>
  </si>
  <si>
    <t>lương CB</t>
  </si>
  <si>
    <t>I- NGOẠI NGHIỆP:</t>
  </si>
  <si>
    <t>III/ PHỤ CẤP KHU VỰC (0.1):</t>
  </si>
  <si>
    <t>Ngoại nghiệp</t>
  </si>
  <si>
    <t>Nội nghiệp</t>
  </si>
  <si>
    <t>Phụ cấp</t>
  </si>
  <si>
    <t>độc hại</t>
  </si>
  <si>
    <t>Kỹ thuật viên</t>
  </si>
  <si>
    <t>Nhóm 2</t>
  </si>
  <si>
    <t>Nhóm 3</t>
  </si>
  <si>
    <t>1KS1</t>
  </si>
  <si>
    <t>Kỹ sư</t>
  </si>
  <si>
    <t>1KTV6</t>
  </si>
  <si>
    <t>1 ngày công</t>
  </si>
  <si>
    <t>Hộp đựng tài liệu</t>
  </si>
  <si>
    <t>Túi đựng tài liệu</t>
  </si>
  <si>
    <t>Dập ghim</t>
  </si>
  <si>
    <t>Ổ ghi đĩa DVD</t>
  </si>
  <si>
    <t xml:space="preserve">Ghế </t>
  </si>
  <si>
    <t>Quạt trần 0,1 kW</t>
  </si>
  <si>
    <t>Đèn neon 0,04 kW</t>
  </si>
  <si>
    <t>Tủ đựng tài liệu</t>
  </si>
  <si>
    <t xml:space="preserve">Điện năng </t>
  </si>
  <si>
    <t>Lái xe</t>
  </si>
  <si>
    <t>Nhóm 1</t>
  </si>
  <si>
    <t>Số thửa của xã</t>
  </si>
  <si>
    <t>4.3.1</t>
  </si>
  <si>
    <t>Thu thập dữ liệu, tài liệu</t>
  </si>
  <si>
    <t>4.1.1</t>
  </si>
  <si>
    <t>4.1.2</t>
  </si>
  <si>
    <t>Chuyển đổi các đối tượng không gian địa chính bổ sung vào CSDL hiện có</t>
  </si>
  <si>
    <t>Thời hạn
(tháng)</t>
  </si>
  <si>
    <t>Định mức
(ca)</t>
  </si>
  <si>
    <t>Đồng</t>
  </si>
  <si>
    <t>ĐVT:</t>
  </si>
  <si>
    <t>Đơn giá
(đồng)</t>
  </si>
  <si>
    <t>Thành tiền
(đồng)</t>
  </si>
  <si>
    <t>Máy tính để bàn</t>
  </si>
  <si>
    <t>Máy in laser</t>
  </si>
  <si>
    <t>CHI PHÍ CÔNG CỤ, DỤNG CỤ</t>
  </si>
  <si>
    <t>đồng</t>
  </si>
  <si>
    <t>Giấy in A4</t>
  </si>
  <si>
    <t>Mực in laser</t>
  </si>
  <si>
    <t>Mực máy photocopy</t>
  </si>
  <si>
    <t xml:space="preserve">Sổ </t>
  </si>
  <si>
    <t>quyển</t>
  </si>
  <si>
    <t xml:space="preserve">Đĩa CD </t>
  </si>
  <si>
    <t xml:space="preserve">Đĩa DVD </t>
  </si>
  <si>
    <t>Hộp ghim kẹp</t>
  </si>
  <si>
    <t>Hộp ghim dập</t>
  </si>
  <si>
    <t>Giấy note</t>
  </si>
  <si>
    <t>Cặp để tài liệu</t>
  </si>
  <si>
    <t>CHI PHÍ VẬT LIỆU</t>
  </si>
  <si>
    <t>Máy Scan</t>
  </si>
  <si>
    <t>Tách. lọc từ nội dung BĐĐC các đối tượng cần bổ sung để hoàn thiện dữ liệu không gian địa chính</t>
  </si>
  <si>
    <t>4.3.2</t>
  </si>
  <si>
    <t>Chuẩn hóa đối tượng không gian bổ sung cho phù hợp với yêu cầu của chuẩn dữ liệu địa chính</t>
  </si>
  <si>
    <t>Nhập thông tin thuộc tính của đối tượng không gian địa chính bổ sung từ nội dung BĐĐC và từ hồ sơ cấp GCN. hồ sơ đăng kí biến động</t>
  </si>
  <si>
    <t>gram</t>
  </si>
  <si>
    <t>hộp</t>
  </si>
  <si>
    <t>tập</t>
  </si>
  <si>
    <t>kW/h</t>
  </si>
  <si>
    <t>Thời hạn</t>
  </si>
  <si>
    <t>(tháng)</t>
  </si>
  <si>
    <t>Đơn giá</t>
  </si>
  <si>
    <t>(đồng)</t>
  </si>
  <si>
    <t>(đ/ca)</t>
  </si>
  <si>
    <t>KK1</t>
  </si>
  <si>
    <t>KK2</t>
  </si>
  <si>
    <t>KK3</t>
  </si>
  <si>
    <t>(ca)</t>
  </si>
  <si>
    <t>Thu thập tài liệu</t>
  </si>
  <si>
    <t>Dụng cụ nhỏ 8%</t>
  </si>
  <si>
    <t>Nội dung công việc</t>
  </si>
  <si>
    <t>Công nhóm</t>
  </si>
  <si>
    <t>Công đơn</t>
  </si>
  <si>
    <t xml:space="preserve">Trang A4 </t>
  </si>
  <si>
    <t>Máy quét A4</t>
  </si>
  <si>
    <t>2a</t>
  </si>
  <si>
    <t>2b</t>
  </si>
  <si>
    <t>2b.1</t>
  </si>
  <si>
    <t>2b.2</t>
  </si>
  <si>
    <t>1KTV4 + 1KTV6</t>
  </si>
  <si>
    <t>2.1</t>
  </si>
  <si>
    <t>3.1</t>
  </si>
  <si>
    <t>4.1</t>
  </si>
  <si>
    <t>5.1</t>
  </si>
  <si>
    <t>7.1</t>
  </si>
  <si>
    <t>6.1</t>
  </si>
  <si>
    <t>Thu thập tài liệu (Bước 2)</t>
  </si>
  <si>
    <t>Công tác chuẩn bị (Bước 1)</t>
  </si>
  <si>
    <t>Hoàn thiện dữ liệu địa chính (Bước 7)</t>
  </si>
  <si>
    <t>Xây dựng dữ liệu đặc tả - metadata (Bước 8)</t>
  </si>
  <si>
    <t>Máy server</t>
  </si>
  <si>
    <t>Cái</t>
  </si>
  <si>
    <t>Thiết bị mạng</t>
  </si>
  <si>
    <t>Bộ</t>
  </si>
  <si>
    <t>Các bước công việc</t>
  </si>
  <si>
    <t>Máy quét A3</t>
  </si>
  <si>
    <t>Thiết bị lưu trữ hồ sơ quét</t>
  </si>
  <si>
    <t>Rà soát, đánh giá và phân loại tài liệu (Bước 3)</t>
  </si>
  <si>
    <t>Sắp xếp Hồ sơ thủ tục đăng ký đất đai, tài sản gắn liền với đất</t>
  </si>
  <si>
    <t xml:space="preserve">Thực hiện đăng ký bổ sung cho những thửa đất chưa đăng ký </t>
  </si>
  <si>
    <t>3.3</t>
  </si>
  <si>
    <t>3.4</t>
  </si>
  <si>
    <t>5.2</t>
  </si>
  <si>
    <t>5.3</t>
  </si>
  <si>
    <t>6.2</t>
  </si>
  <si>
    <t>Lập bảng tham chiếu số thửa cũ và số thửa mới đối với các thửa đất đã cấp GCN theo bản đồ cũ</t>
  </si>
  <si>
    <t>Xây dựng dữ liệu không gian nền từ 5 lớp của bản đồ địa chính hoặc bản đồ hiện trạng sử dụng đất</t>
  </si>
  <si>
    <t>Xây dựng dữ liệu không gian địa chính</t>
  </si>
  <si>
    <t>kW</t>
  </si>
  <si>
    <t>4.2</t>
  </si>
  <si>
    <t>Kiểm tra tổng thể cơ sở dữ liệu địa chính (Bước 9)</t>
  </si>
  <si>
    <t>9.3</t>
  </si>
  <si>
    <t>Trang A3</t>
  </si>
  <si>
    <t>Quét (chụp) các giấy tờ hồ sơ pháp lý về quyền sử dụng đất</t>
  </si>
  <si>
    <t>Trang A3,A4</t>
  </si>
  <si>
    <t>Quét (chụp) Giấy chứng nhận đang sử dụng hoặc bản lưu Giấy chứng nhận</t>
  </si>
  <si>
    <t>3.2</t>
  </si>
  <si>
    <t>1.1</t>
  </si>
  <si>
    <t>1.2</t>
  </si>
  <si>
    <t>2.2</t>
  </si>
  <si>
    <t>2.3</t>
  </si>
  <si>
    <t>Máy Scan A4</t>
  </si>
  <si>
    <t>Máy Scan A3</t>
  </si>
  <si>
    <t>Thiết bị lưu trữ</t>
  </si>
  <si>
    <t>(đ/thửa)</t>
  </si>
  <si>
    <t>Kinh phí khấu hao máy thiết bị 01 xã</t>
  </si>
  <si>
    <t>Kinh phí điện năng 01 xã</t>
  </si>
  <si>
    <t>Vật liệu</t>
  </si>
  <si>
    <t>Thiết bị</t>
  </si>
  <si>
    <t>Dụng cụ</t>
  </si>
  <si>
    <t>chưa tính điện năng</t>
  </si>
  <si>
    <t>Nhân công</t>
  </si>
  <si>
    <t>Gram</t>
  </si>
  <si>
    <t>Hộp</t>
  </si>
  <si>
    <t>Quyển</t>
  </si>
  <si>
    <t>Thống kê các thửa đất</t>
  </si>
  <si>
    <t>Thông tư qui trình gộp vào 1</t>
  </si>
  <si>
    <t>Xã</t>
  </si>
  <si>
    <t>Nhân công xếp hồ sơ</t>
  </si>
  <si>
    <t>Vệ sinh, tháo bỏ ghim kẹp, làm phẳng tài liệu và vào bìa hồ sơ; đánh số chính thức lên bìa hồ sơ</t>
  </si>
  <si>
    <t>Sắp xếp hồ sơ vào hộp; viết, dán nhãn hộp</t>
  </si>
  <si>
    <t>Vận chuyển hồ sơ vào kho, xếp lên giá và giao, nhận tài liệu vào kho</t>
  </si>
  <si>
    <t>Hồ sơ</t>
  </si>
  <si>
    <r>
      <t xml:space="preserve">Biên mục hồ sơ (sắp xếp hồ sơ theo hướng dẫn; </t>
    </r>
    <r>
      <rPr>
        <sz val="13"/>
        <color rgb="FFFF0000"/>
        <rFont val="Times New Roman"/>
        <family val="1"/>
      </rPr>
      <t xml:space="preserve">đánh số tờ; </t>
    </r>
    <r>
      <rPr>
        <sz val="13"/>
        <color theme="1"/>
        <rFont val="Times New Roman"/>
        <family val="1"/>
      </rPr>
      <t>nhập mục lục trường văn bản; in mục lục, kẹp vào bìa hồ sơ; viết bìa hồ sơ</t>
    </r>
    <r>
      <rPr>
        <sz val="13"/>
        <color rgb="FFFF0000"/>
        <rFont val="Times New Roman"/>
        <family val="1"/>
      </rPr>
      <t xml:space="preserve"> và chứng từ kết thúc</t>
    </r>
    <r>
      <rPr>
        <sz val="13"/>
        <color theme="1"/>
        <rFont val="Times New Roman"/>
        <family val="1"/>
      </rPr>
      <t>)</t>
    </r>
  </si>
  <si>
    <t>Áo blu (áo BHLĐ)</t>
  </si>
  <si>
    <t>Dép đi trong phòng</t>
  </si>
  <si>
    <t>Chuột máy tính</t>
  </si>
  <si>
    <t>Xe đẩy</t>
  </si>
  <si>
    <t>Giá đựng hồ sơ, bản đồ</t>
  </si>
  <si>
    <t>Máy tính tay</t>
  </si>
  <si>
    <t>Đồng hồ treo tường</t>
  </si>
  <si>
    <t>Máy hút bụi 2 kW</t>
  </si>
  <si>
    <t>Máy hút ẩm 1,5kW</t>
  </si>
  <si>
    <t>Ổn áp dùng chung 10 KVA</t>
  </si>
  <si>
    <t>Biên mục hồ sơ (sắp xếp hồ sơ theo hướng dẫn; đánh số tờ; nhập mục lục trường văn bản; in mục lục, kẹp vào bìa hồ sơ; viết bìa hồ sơ và chứng từ kết thúc)</t>
  </si>
  <si>
    <t xml:space="preserve">Bảng hệ số </t>
  </si>
  <si>
    <t>Lọ</t>
  </si>
  <si>
    <t>Dây buộc</t>
  </si>
  <si>
    <t>Bút xóa</t>
  </si>
  <si>
    <t>Bút chì</t>
  </si>
  <si>
    <t>Bút ký</t>
  </si>
  <si>
    <t>Kéo</t>
  </si>
  <si>
    <t>Cặp đựng tài liệu</t>
  </si>
  <si>
    <t>Kìm gỡ ghim</t>
  </si>
  <si>
    <t>Gọt chì</t>
  </si>
  <si>
    <t>Ghim dập</t>
  </si>
  <si>
    <t>Tẩy</t>
  </si>
  <si>
    <t>Bìa hồ sơ</t>
  </si>
  <si>
    <t>Tờ</t>
  </si>
  <si>
    <t>Hồ dán nhãn hộp</t>
  </si>
  <si>
    <t>Hệ số điều chỉnh định mức việc nhập, chuẩn hóa thông tin thửa đất theo loại thửa đất</t>
  </si>
  <si>
    <t>Loại thửa</t>
  </si>
  <si>
    <t>Tổng số trường dữ liệu</t>
  </si>
  <si>
    <t>Hệ số (K1)</t>
  </si>
  <si>
    <t xml:space="preserve">Thông tin thửa </t>
  </si>
  <si>
    <t>Địa chỉ thửa đất</t>
  </si>
  <si>
    <t>Thông tin người sử dụng/quản lý đất</t>
  </si>
  <si>
    <t xml:space="preserve">Địa chỉ người sử dụng/quản lý đất </t>
  </si>
  <si>
    <t xml:space="preserve">Thông tin về chủ sở hữu tài sản gắn liền với đất </t>
  </si>
  <si>
    <t xml:space="preserve">Nhà ở </t>
  </si>
  <si>
    <t xml:space="preserve">Công trình xây dựng </t>
  </si>
  <si>
    <t>Rừng</t>
  </si>
  <si>
    <t>Cây lâu năm</t>
  </si>
  <si>
    <t xml:space="preserve">Căn hộ </t>
  </si>
  <si>
    <t>Nhóm thông tin về Quyền</t>
  </si>
  <si>
    <t>Thông tin về tình trạng pháp lý</t>
  </si>
  <si>
    <t>Chỉnh lý hình thể thửa đất vào dữ liệu không gian địa chính của CSDL</t>
  </si>
  <si>
    <t>Cập nhật thông tin biến động về thuộc tính địa chính của thửa đất</t>
  </si>
  <si>
    <t>Đăng ký đất đai, tài sản gắn liền với đất lần đâu</t>
  </si>
  <si>
    <t>Đăng ký thế chấp</t>
  </si>
  <si>
    <t>Chuyển quyền sử dụng toàn bộ thửa đất</t>
  </si>
  <si>
    <t>2.4</t>
  </si>
  <si>
    <t>Chuyển quyền sử dụng một phần thửa đất</t>
  </si>
  <si>
    <t>2.5</t>
  </si>
  <si>
    <t>2.6</t>
  </si>
  <si>
    <t>Cấp đổi, cấp lại GCN</t>
  </si>
  <si>
    <t>2.7</t>
  </si>
  <si>
    <t>Các thay đổi khác</t>
  </si>
  <si>
    <t>Quét (chụp) giấy tờ pháp lý về quyền sử dụng đất và bản đồ, sơ đồ, bản trích đo địa chính đối với trường hợp đăng ký bổ sung lần đầu, đăng ký biến động (nếu có)</t>
  </si>
  <si>
    <t>Đăng ký đất đai, tài sản gắn liền với đất thường xuyên</t>
  </si>
  <si>
    <t>Công nhập thửa chuẩn</t>
  </si>
  <si>
    <t>Số trường thửa chuẩn phải nhập</t>
  </si>
  <si>
    <t>Số trường phải nhập bổ sung</t>
  </si>
  <si>
    <t>Hệ số tiến hành làm hồ sơ đơn lẻ so với làm đồng loạt</t>
  </si>
  <si>
    <t>ước tính</t>
  </si>
  <si>
    <t xml:space="preserve">Hệ số </t>
  </si>
  <si>
    <t>Công chỉnh lý dữ  liệu không gian</t>
  </si>
  <si>
    <t>Đơn giá nhân công</t>
  </si>
  <si>
    <t xml:space="preserve"> Xây dựng cơ sở dữ liệu địa chính </t>
  </si>
  <si>
    <t>I</t>
  </si>
  <si>
    <t>s¶n phÈm</t>
  </si>
  <si>
    <t>Năng lượng</t>
  </si>
  <si>
    <t>Khấu hao</t>
  </si>
  <si>
    <t>tÝnh</t>
  </si>
  <si>
    <r>
      <t xml:space="preserve">Đơn giá sản phẩm </t>
    </r>
    <r>
      <rPr>
        <b/>
        <sz val="10"/>
        <rFont val="Times New Roman"/>
        <family val="1"/>
        <charset val="163"/>
      </rPr>
      <t>(trừ khấu hao)</t>
    </r>
  </si>
  <si>
    <t>Đơn giá sản phẩm</t>
  </si>
  <si>
    <t>Chi phí chung 15%</t>
  </si>
  <si>
    <t>Chi phí trực tiếp</t>
  </si>
  <si>
    <t>Chi phí sử dụng máy</t>
  </si>
  <si>
    <t>Chi phí vật liệu</t>
  </si>
  <si>
    <t>Chi phí dụng cụ</t>
  </si>
  <si>
    <t>Chi phí LĐPT</t>
  </si>
  <si>
    <t>Chi phí LĐKT</t>
  </si>
  <si>
    <t>Đơn vị</t>
  </si>
  <si>
    <t>Tên sản phẩm</t>
  </si>
  <si>
    <t>Số TT</t>
  </si>
  <si>
    <t>Đơn vị tính: đồng</t>
  </si>
  <si>
    <t>Đơn vị hành chính</t>
  </si>
  <si>
    <t>Tổng số xã</t>
  </si>
  <si>
    <t>Tỉnh</t>
  </si>
  <si>
    <t>Huyện</t>
  </si>
  <si>
    <r>
      <t xml:space="preserve">Tổng số huyện </t>
    </r>
    <r>
      <rPr>
        <i/>
        <sz val="11"/>
        <rFont val="Times New Roman"/>
        <family val="1"/>
      </rPr>
      <t>(Có XD CSDL khác)</t>
    </r>
  </si>
  <si>
    <t>Tổng số huyện toàn tỉnh</t>
  </si>
  <si>
    <t>(1)</t>
  </si>
  <si>
    <t>(2)</t>
  </si>
  <si>
    <t>(3)</t>
  </si>
  <si>
    <t>(4)</t>
  </si>
  <si>
    <t>(5)</t>
  </si>
  <si>
    <t>TỔNG CỘNG</t>
  </si>
  <si>
    <t>Miền Bắc: Northern (14)</t>
  </si>
  <si>
    <t>Cao Bằng</t>
  </si>
  <si>
    <t>Huyện Trà Lĩnh</t>
  </si>
  <si>
    <t>Huyện Phục Hòa</t>
  </si>
  <si>
    <t>Huyện Trùng Khánh</t>
  </si>
  <si>
    <t>Huyện Hạ Lang</t>
  </si>
  <si>
    <t>Huyện Bảo Lâm</t>
  </si>
  <si>
    <t>Huyện Bảo Lạc</t>
  </si>
  <si>
    <t>Huyện Hà Quảng</t>
  </si>
  <si>
    <t>TP Cao Bằng</t>
  </si>
  <si>
    <t>Lạng Sơn</t>
  </si>
  <si>
    <t>Thành phố Lạng Sơn</t>
  </si>
  <si>
    <t>Huyện Tràng Định</t>
  </si>
  <si>
    <t>Huyện Cao Lộc</t>
  </si>
  <si>
    <t>Huyện Bình Gia</t>
  </si>
  <si>
    <t>Huyện Lộc Bình</t>
  </si>
  <si>
    <t>Tuyên Quang</t>
  </si>
  <si>
    <t>Thành phố Tuyên Quang</t>
  </si>
  <si>
    <t>Huyện Lâm Bình</t>
  </si>
  <si>
    <t>Huyện Yên Sơn</t>
  </si>
  <si>
    <t>Huyện Hàm Yên</t>
  </si>
  <si>
    <t>Huyện Sơn Dương</t>
  </si>
  <si>
    <t>Thái Nguyên</t>
  </si>
  <si>
    <t>Thành phố Sông Công</t>
  </si>
  <si>
    <t>Huyện Phú Lương</t>
  </si>
  <si>
    <t>Huyện Đại Từ</t>
  </si>
  <si>
    <t>Huyện Võ Nhai</t>
  </si>
  <si>
    <t>Thị xã Phổ Yên</t>
  </si>
  <si>
    <t>Huyện Phú Bình</t>
  </si>
  <si>
    <t>Đồng Hỷ</t>
  </si>
  <si>
    <t>Thành phố Thái Nguyên</t>
  </si>
  <si>
    <t>Huyện Định Hóa</t>
  </si>
  <si>
    <t>Lào Cai</t>
  </si>
  <si>
    <t>Thành phố Lào Cai</t>
  </si>
  <si>
    <t>Huyện Sa Pa</t>
  </si>
  <si>
    <t>Huyện Bảo Thắng</t>
  </si>
  <si>
    <t>Huyện Bắc Hà</t>
  </si>
  <si>
    <t>Huyện Bảo Yên</t>
  </si>
  <si>
    <t>Huyện Văn Bàn</t>
  </si>
  <si>
    <t>Huyện Mường Khương</t>
  </si>
  <si>
    <t>Huyện Si Ma Cai</t>
  </si>
  <si>
    <t>Huyện Bát Xát</t>
  </si>
  <si>
    <t>Yên Bái</t>
  </si>
  <si>
    <t>Huyện Trấn Yên</t>
  </si>
  <si>
    <t>Huyện Yên Bình</t>
  </si>
  <si>
    <t>Huyện Lục Yên</t>
  </si>
  <si>
    <t>Huyện Văn Chấn</t>
  </si>
  <si>
    <t>Huyện Văn Yên</t>
  </si>
  <si>
    <t>Huyện Mù Cang Chải</t>
  </si>
  <si>
    <t>Thành phố Yên Bái</t>
  </si>
  <si>
    <t>Thị xã Nghĩa Lộ</t>
  </si>
  <si>
    <t>Sơn La</t>
  </si>
  <si>
    <t>Huyện Phù Yên</t>
  </si>
  <si>
    <t>Huyện Yên Châu</t>
  </si>
  <si>
    <t>Huyện Mộc Châu</t>
  </si>
  <si>
    <t>Huyện Mai Sơn</t>
  </si>
  <si>
    <t>Huyện Sông Mã</t>
  </si>
  <si>
    <t>Vân Hồ</t>
  </si>
  <si>
    <t>Huyện Mường La</t>
  </si>
  <si>
    <t>Bắc Giang</t>
  </si>
  <si>
    <t>Huyện Việt Yên</t>
  </si>
  <si>
    <t>Huyện Lạng Giang</t>
  </si>
  <si>
    <t>Huyện Tân Yên</t>
  </si>
  <si>
    <t>Huyện Yên Dũng</t>
  </si>
  <si>
    <t>Huyện Yên Thế</t>
  </si>
  <si>
    <t>Huyện Lục Nam</t>
  </si>
  <si>
    <t>Thành phố Bắc Giang</t>
  </si>
  <si>
    <t>Huyện Hiệp Hòa</t>
  </si>
  <si>
    <t>Bắc Ninh (phủ trùm CSDL)</t>
  </si>
  <si>
    <t>Thành phố Bắc Ninh</t>
  </si>
  <si>
    <t>Huyện Quế Võ</t>
  </si>
  <si>
    <t>Huyện Thuận Thành</t>
  </si>
  <si>
    <t>Huyện Yên Phong</t>
  </si>
  <si>
    <t>Huyện Tiên Du</t>
  </si>
  <si>
    <t>Huyện Gia Bình</t>
  </si>
  <si>
    <t>Huyện Lương Tài</t>
  </si>
  <si>
    <t>Thị xã Từ Sơn</t>
  </si>
  <si>
    <t>Thái Bình (phủ trùm CSDL)</t>
  </si>
  <si>
    <t>Huyện Hưng Hà</t>
  </si>
  <si>
    <t>Huyện Thái Thụy</t>
  </si>
  <si>
    <t>Huyện Đông Hưng</t>
  </si>
  <si>
    <t>Thành phố Thái Bình</t>
  </si>
  <si>
    <t>Huyện Quỳnh Phụ</t>
  </si>
  <si>
    <t>Huyện Tiền Hải</t>
  </si>
  <si>
    <t>Huyện Kiến Xương</t>
  </si>
  <si>
    <t>Huyện Vũ Thư</t>
  </si>
  <si>
    <t>Hà Nam (phủ trùm CSDL)</t>
  </si>
  <si>
    <t>Huyện Duy Tiên</t>
  </si>
  <si>
    <t>Huyện Thanh Liêm</t>
  </si>
  <si>
    <t>Huyện Kim Bảng</t>
  </si>
  <si>
    <t>Huyện Bình Lục</t>
  </si>
  <si>
    <t>TP. Phủ Lý</t>
  </si>
  <si>
    <t>Huyện Lý Nhân</t>
  </si>
  <si>
    <t>Nam Định (phủ trùm CSDL)</t>
  </si>
  <si>
    <t>Huyện Nam Trực</t>
  </si>
  <si>
    <t>Huyện Trực Ninh</t>
  </si>
  <si>
    <t>Huyện Mỹ Lộc</t>
  </si>
  <si>
    <t>Huyện Hải Hậu</t>
  </si>
  <si>
    <t>Huyện Xuân Trường</t>
  </si>
  <si>
    <t>Huyện Giao Thủy</t>
  </si>
  <si>
    <t>Huyện Nghĩa Hưng</t>
  </si>
  <si>
    <t>Huyện Vụ Bản</t>
  </si>
  <si>
    <t>Thành phố Nam Định</t>
  </si>
  <si>
    <t>Huyện Ý Yên</t>
  </si>
  <si>
    <t>Ninh Bình (phủ trùm CSDL)</t>
  </si>
  <si>
    <t>Thành phố Ninh Bình</t>
  </si>
  <si>
    <t>Thị xã Tam Điệp</t>
  </si>
  <si>
    <t>Huyện Yên Khánh</t>
  </si>
  <si>
    <t>Huyện Nho Quan</t>
  </si>
  <si>
    <t>Huyện Yên Mô</t>
  </si>
  <si>
    <t>Huyện Hoa Lư</t>
  </si>
  <si>
    <t>Huyện Gia Viễn</t>
  </si>
  <si>
    <t>Huyện Kim Sơn</t>
  </si>
  <si>
    <t>Hải Phòng</t>
  </si>
  <si>
    <t>Quận Hồng Bàng</t>
  </si>
  <si>
    <t>Quận Lê Chân</t>
  </si>
  <si>
    <t>Quận Kiến An</t>
  </si>
  <si>
    <t>Huyện An Lão</t>
  </si>
  <si>
    <t>Quận Hải An</t>
  </si>
  <si>
    <t>Quận Dương Kinh</t>
  </si>
  <si>
    <t>Huyện Cát Hải</t>
  </si>
  <si>
    <t>Quận Đồ Sơn</t>
  </si>
  <si>
    <t>Miền Trung: Central (10)</t>
  </si>
  <si>
    <t>Nghệ An</t>
  </si>
  <si>
    <t>Thành phố Vinh</t>
  </si>
  <si>
    <t>Thị xã Cửa Lò</t>
  </si>
  <si>
    <t>Thị xã Thái Hòa</t>
  </si>
  <si>
    <t>Thị xã Hoàng Mai</t>
  </si>
  <si>
    <t>Huyện Nghĩa Đàn</t>
  </si>
  <si>
    <t>Huyện Nam Đàn</t>
  </si>
  <si>
    <t>Huyện Yên Thành</t>
  </si>
  <si>
    <t>Huyện Hưng Nguyên</t>
  </si>
  <si>
    <t>Huyện Diễn Châu</t>
  </si>
  <si>
    <t>Huyện Nghi Lộc</t>
  </si>
  <si>
    <t>Huyện Thanh Chương</t>
  </si>
  <si>
    <t>Huyện Quỳnh Lưu</t>
  </si>
  <si>
    <t>Huyện Đô Lương</t>
  </si>
  <si>
    <t>Hà Tĩnh</t>
  </si>
  <si>
    <t>Thành phố Hà Tĩnh</t>
  </si>
  <si>
    <t>Thị xã Hồng Lĩnh</t>
  </si>
  <si>
    <t>Thị xã Kỳ Anh</t>
  </si>
  <si>
    <t>Huyện Kỳ Anh</t>
  </si>
  <si>
    <t>Huyện Nghi Xuân</t>
  </si>
  <si>
    <t>Huyện Thạch Hà</t>
  </si>
  <si>
    <t>Huyện Đức Thọ</t>
  </si>
  <si>
    <t>Huyện Can Lộc</t>
  </si>
  <si>
    <t>Huyện Lộc Hà</t>
  </si>
  <si>
    <t>Huyện Hương Sơn</t>
  </si>
  <si>
    <t>Huyện Vũ Quang</t>
  </si>
  <si>
    <t>Huyện Hương Khê</t>
  </si>
  <si>
    <t>Huyện Cẩm Xuyên</t>
  </si>
  <si>
    <t>Quảng Bình</t>
  </si>
  <si>
    <t>Huyện Lệ Thủy</t>
  </si>
  <si>
    <t>Huyện Tuyên Hóa</t>
  </si>
  <si>
    <t>Huyện Minh Hóa</t>
  </si>
  <si>
    <t>Huyện Quảng Ninh</t>
  </si>
  <si>
    <t>Thành Phố Đồng Hới</t>
  </si>
  <si>
    <t>Huyện Quảng Trạch</t>
  </si>
  <si>
    <t>Thị xã Ba Đồn</t>
  </si>
  <si>
    <t>Huyện Bố Trạch</t>
  </si>
  <si>
    <t>Quảng Trị</t>
  </si>
  <si>
    <t>TP Đông Hà</t>
  </si>
  <si>
    <t>Huyện Hướng Hóa</t>
  </si>
  <si>
    <t>Huyện Gio Linh</t>
  </si>
  <si>
    <t>Huyện Cam Lộ</t>
  </si>
  <si>
    <t>Thị xã Quảng Trị</t>
  </si>
  <si>
    <t>Huyện Vĩnh Linh</t>
  </si>
  <si>
    <t>Huyện ĐăkRông</t>
  </si>
  <si>
    <t>Huyện Triệu Phong</t>
  </si>
  <si>
    <t>Huyện Hải Lăng</t>
  </si>
  <si>
    <t>Thừa Thiên Huế</t>
  </si>
  <si>
    <t>Huyện Phong Điền</t>
  </si>
  <si>
    <t>Huyện Quảng Điền</t>
  </si>
  <si>
    <t>Thị xã Hương Trà</t>
  </si>
  <si>
    <t>Thị xã Hương Thủy</t>
  </si>
  <si>
    <t>Huyện Phú Lộc</t>
  </si>
  <si>
    <t>Huyện A Lưới</t>
  </si>
  <si>
    <t>TP. Huế</t>
  </si>
  <si>
    <t>Huyện Nam Đông</t>
  </si>
  <si>
    <t>Huyện Phú Vang</t>
  </si>
  <si>
    <t>Quảng Ngãi</t>
  </si>
  <si>
    <t>Thành phố Quảng Ngãi</t>
  </si>
  <si>
    <t>Huyện Sơn Tịnh</t>
  </si>
  <si>
    <t>Huyện Mộ Đức</t>
  </si>
  <si>
    <t>Huyện Đức Phổ</t>
  </si>
  <si>
    <t>Huyện Bình Sơn</t>
  </si>
  <si>
    <t>Huyện Sơn Hà</t>
  </si>
  <si>
    <t>Huyện Sơn Tây</t>
  </si>
  <si>
    <t>Huyện Tây Trà</t>
  </si>
  <si>
    <t>Huyện Trà Bồng</t>
  </si>
  <si>
    <t>Huyện Tư Nghĩa</t>
  </si>
  <si>
    <t>Huyện Minh Long</t>
  </si>
  <si>
    <t>Huyện Nghĩa Hành</t>
  </si>
  <si>
    <t>Huyện Ba Tơ</t>
  </si>
  <si>
    <t>Huyện Lý Sơn</t>
  </si>
  <si>
    <t>Phú Yên</t>
  </si>
  <si>
    <t>Huyện Tây Hòa</t>
  </si>
  <si>
    <t>Huyện Phú Hòa</t>
  </si>
  <si>
    <t>Huyện Sơn Hòa</t>
  </si>
  <si>
    <t>Huyện Sông Hinh</t>
  </si>
  <si>
    <t>Huyện Đông Hòa</t>
  </si>
  <si>
    <t>Thành phố Tuy Hòa</t>
  </si>
  <si>
    <t>TX Sông Cầu</t>
  </si>
  <si>
    <t>Huyện Tuy An</t>
  </si>
  <si>
    <t>Đắk Lắk</t>
  </si>
  <si>
    <t>Huyện Krông Bông</t>
  </si>
  <si>
    <t>Huyện Lắk</t>
  </si>
  <si>
    <t>Huyện Ea H'leo</t>
  </si>
  <si>
    <t>Huyện Krông Năng</t>
  </si>
  <si>
    <t>Huyện Krông Buk</t>
  </si>
  <si>
    <t>Huyện Ea Kar</t>
  </si>
  <si>
    <t>Huyện M'Đrắk</t>
  </si>
  <si>
    <t>Thị Xã Buôn Hồ</t>
  </si>
  <si>
    <t>TP. Buôn Ma Thuột</t>
  </si>
  <si>
    <t>Khánh Hòa (phủ trùm CSDL)</t>
  </si>
  <si>
    <t>Thị xã Ninh Hòa</t>
  </si>
  <si>
    <t>Huyện Diên Khánh</t>
  </si>
  <si>
    <t>Thành phố Nha Trang</t>
  </si>
  <si>
    <t>Thành phố Cam Ranh</t>
  </si>
  <si>
    <t>Huyện Cam Lâm</t>
  </si>
  <si>
    <t>Huyện Vạn Ninh</t>
  </si>
  <si>
    <t>Huyện Khánh Vĩnh</t>
  </si>
  <si>
    <t>Huyện Khánh Sơn</t>
  </si>
  <si>
    <t>Lâm Đồng</t>
  </si>
  <si>
    <t>Thành phố Bảo Lộc</t>
  </si>
  <si>
    <t>Huyện Đạ Huoai</t>
  </si>
  <si>
    <t>Huyện Đạ Tẻh</t>
  </si>
  <si>
    <t>Huyện Cát Tiên</t>
  </si>
  <si>
    <t>Thành phố Đà Lạt</t>
  </si>
  <si>
    <t>Huyện Đức Trọng</t>
  </si>
  <si>
    <t>Miền Nam: Southern (9)</t>
  </si>
  <si>
    <t>Tây Ninh (phủ trùm CSDL)</t>
  </si>
  <si>
    <t>Thành phố Tây Ninh</t>
  </si>
  <si>
    <t>Huyện Hòa Thành</t>
  </si>
  <si>
    <t>Huyện Trảng Bàng</t>
  </si>
  <si>
    <t>Huyện Gò Dầu</t>
  </si>
  <si>
    <t>Huyện Dương Minh Châu</t>
  </si>
  <si>
    <t>Huyện Bến Cầu</t>
  </si>
  <si>
    <t>Huyện Châu Thành</t>
  </si>
  <si>
    <t>Huyện Tân Biên</t>
  </si>
  <si>
    <t>Huyện Tân Châu</t>
  </si>
  <si>
    <t>Long An (phủ trùm CSDL)</t>
  </si>
  <si>
    <t>TP Tân An</t>
  </si>
  <si>
    <t>Huyện Tân Thạnh</t>
  </si>
  <si>
    <t>Huyện Cần Giuộc</t>
  </si>
  <si>
    <t>Huyện Cần Đước</t>
  </si>
  <si>
    <t>Huyện Thủ Thừa</t>
  </si>
  <si>
    <t>Huyện Thạnh Hóa</t>
  </si>
  <si>
    <t>Huyện Vĩnh Hưng</t>
  </si>
  <si>
    <t>Huyện Tân Hưng</t>
  </si>
  <si>
    <t>Huyện Đức Huệ</t>
  </si>
  <si>
    <t>Thị xã Kiến Tường</t>
  </si>
  <si>
    <t>Huyện Mộc Hóa</t>
  </si>
  <si>
    <t>Huyện Bến Lức</t>
  </si>
  <si>
    <t>Huyện Đức Hòa</t>
  </si>
  <si>
    <t>Huyện Tân Trụ</t>
  </si>
  <si>
    <t>Tiền Giang (phủ trùm CSDL)</t>
  </si>
  <si>
    <t>Huyên Tân Phước</t>
  </si>
  <si>
    <t>Huyện Tân Phú Đông</t>
  </si>
  <si>
    <t>Thành phố Mỹ Tho</t>
  </si>
  <si>
    <t>Thị xã Gò Công</t>
  </si>
  <si>
    <t>Thị xã Cai Lậy</t>
  </si>
  <si>
    <t>Huyện Cái Bè</t>
  </si>
  <si>
    <t>Huyện Cai Lậy</t>
  </si>
  <si>
    <t>Huyện Chợ Gạo</t>
  </si>
  <si>
    <t>Huyện Gò Công Tây</t>
  </si>
  <si>
    <t>Huyện Gò Công Đông</t>
  </si>
  <si>
    <t>Vĩnh Long (phủ trùm CSDL)</t>
  </si>
  <si>
    <t>Thành phố Vĩnh Long</t>
  </si>
  <si>
    <t>Huyện Long Hồ</t>
  </si>
  <si>
    <t>Huyện Mang Thít</t>
  </si>
  <si>
    <t>Huyện  Vũng Liêm</t>
  </si>
  <si>
    <t>Huyện Tam Bình</t>
  </si>
  <si>
    <t>Thị xã Bình Minh</t>
  </si>
  <si>
    <t>Huyện Trà Ôn</t>
  </si>
  <si>
    <t>Huyện Bình Tân</t>
  </si>
  <si>
    <t>Trà Vinh (phủ trùm CSDL)</t>
  </si>
  <si>
    <t>Thành phố Trà Vinh</t>
  </si>
  <si>
    <t>Thị xã Duyên Hải</t>
  </si>
  <si>
    <t>Huyện Duyên Hải</t>
  </si>
  <si>
    <t>Huyện Tiểu Cần</t>
  </si>
  <si>
    <t>Huyện Trà Cú</t>
  </si>
  <si>
    <t>Huyện Cầu Ngang</t>
  </si>
  <si>
    <t>Huyện Cầu Kè</t>
  </si>
  <si>
    <t>Huyện Càng Long</t>
  </si>
  <si>
    <t>Bến Tre (phủ trùm CSDL)</t>
  </si>
  <si>
    <t>Thành phố Bến Tre</t>
  </si>
  <si>
    <t>Huyện Chợ Lách</t>
  </si>
  <si>
    <t>Huyện Mỏ Cày Nam</t>
  </si>
  <si>
    <t>Huyện Giồng Trôm</t>
  </si>
  <si>
    <t>Huyện Bình Đại</t>
  </si>
  <si>
    <t>Huyện Ba Tri</t>
  </si>
  <si>
    <t>Huyện Thạnh Phú</t>
  </si>
  <si>
    <t>Huyện Mỏ Cày Bắc</t>
  </si>
  <si>
    <t>An Giang (phủ trùm CSDL)</t>
  </si>
  <si>
    <t>Thành phố Long Xuyên</t>
  </si>
  <si>
    <t>Thị xã Tân Châu</t>
  </si>
  <si>
    <t>Huyện Phú Tân</t>
  </si>
  <si>
    <t>Huyện An Phú</t>
  </si>
  <si>
    <t>Huyện Thoại Sơn</t>
  </si>
  <si>
    <t>Huyện Chợ Mới</t>
  </si>
  <si>
    <t>Huyện Tịnh Biên</t>
  </si>
  <si>
    <t>Huyện Châu Phú</t>
  </si>
  <si>
    <t>Huyện Tri Tôn</t>
  </si>
  <si>
    <t>Thành phố Châu Đốc</t>
  </si>
  <si>
    <t>Kiên Giang (các huyện còn lại chưa đo đạc)</t>
  </si>
  <si>
    <t>Thành phố Rạch Giá</t>
  </si>
  <si>
    <t>Huyện Tân Hiệp</t>
  </si>
  <si>
    <t>Huyện Giồng Riềng</t>
  </si>
  <si>
    <t>Thị xã Hà Tiên</t>
  </si>
  <si>
    <t>Huyện Phú Quốc</t>
  </si>
  <si>
    <t>Cần Thơ (các huyện còn lại chưa đo đạc)</t>
  </si>
  <si>
    <t>Quận Ninh Kiều</t>
  </si>
  <si>
    <t>Quận Bình Thuỷ</t>
  </si>
  <si>
    <t>Quận Cái Răng</t>
  </si>
  <si>
    <t>Quận Ô Môn</t>
  </si>
  <si>
    <t>Huyện Vĩnh Thạnh</t>
  </si>
  <si>
    <t>N là tổng số GCN cấp chung thửa trong một xã</t>
  </si>
  <si>
    <t>Ghi chú:</t>
  </si>
  <si>
    <t>M là tổng số thửa được cấp chung GCN trong một xã</t>
  </si>
  <si>
    <t>37 là số trường cần phải nhập của một GCN cấp cho nhiều thửa (gồm trường thông tin về chủ sử dụng và trường thông tin về GCN)</t>
  </si>
  <si>
    <t>9 là số trường thông tin của 01 thửa đất</t>
  </si>
  <si>
    <t>46 là số trường cần phải nhập của một thửa đất đã được cấp GCN nhưng không có tài sản</t>
  </si>
  <si>
    <t>Máy in laser A4</t>
  </si>
  <si>
    <t>Thời hạn (tháng)</t>
  </si>
  <si>
    <t>Đơn
 giá/ca</t>
  </si>
  <si>
    <t>đôi</t>
  </si>
  <si>
    <t>Ghế</t>
  </si>
  <si>
    <t>Bàn dập ghim nhỏ</t>
  </si>
  <si>
    <t>Bàn dập ghim to</t>
  </si>
  <si>
    <t>Quạt trần 0,1 kw</t>
  </si>
  <si>
    <t>Quạt thông gió 0,04 kW</t>
  </si>
  <si>
    <t>Bộ đèn neon 0,04 kW</t>
  </si>
  <si>
    <t>bộ</t>
  </si>
  <si>
    <t>Lưu điện cho máy tính 1kvA</t>
  </si>
  <si>
    <t>kw</t>
  </si>
  <si>
    <t xml:space="preserve"> </t>
  </si>
  <si>
    <t>Máy điều hoà nhiệt độ</t>
  </si>
  <si>
    <t>Máy photocoppy A3</t>
  </si>
  <si>
    <t>Kw</t>
  </si>
  <si>
    <t>Giấy  A4</t>
  </si>
  <si>
    <t>Ram</t>
  </si>
  <si>
    <t xml:space="preserve">Mực in laze (A4) </t>
  </si>
  <si>
    <t>Mực photocoppy</t>
  </si>
  <si>
    <t>Mực dấu lọ 60ml</t>
  </si>
  <si>
    <t>kg</t>
  </si>
  <si>
    <t xml:space="preserve">Ghim vòng nhựa </t>
  </si>
  <si>
    <t>Băng dính loại 5 cm</t>
  </si>
  <si>
    <t>Đĩa DVD trắng</t>
  </si>
  <si>
    <t>Đơn giá theo qui định lưu trữ</t>
  </si>
  <si>
    <t>Đơn giá cũ</t>
  </si>
  <si>
    <t>Tỷ lệ</t>
  </si>
  <si>
    <t>Thực hiện đăng ký bổ sung cho các thửa đất chưa đăng ký</t>
  </si>
  <si>
    <t>Công việc chuẩn bị, tiếp nhận hồ sơ  tính cho cả xã</t>
  </si>
  <si>
    <t>Chuẩn bị địa điểm, các tài liệu, bản đồ, mẫu đơn đề nghị cấp GCN, danh sách cấp mới GCN</t>
  </si>
  <si>
    <t>Phổ biến tuyên truyền chủ trương, chính sách về cấp GCN</t>
  </si>
  <si>
    <t>Hướng dẫn lập hồ sơ đề nghị cấp giấy</t>
  </si>
  <si>
    <t>2KTV6+1KTV4</t>
  </si>
  <si>
    <t>KK</t>
  </si>
  <si>
    <t>1-3</t>
  </si>
  <si>
    <t>1KTV4</t>
  </si>
  <si>
    <t>1KTV6+1KTV4</t>
  </si>
  <si>
    <t>Tính toàn bộ bước 3</t>
  </si>
  <si>
    <t xml:space="preserve">Thẩm tra, xác nhận, chuyển hồ sơ cho cấp huyện đối với các thửa đất đăng ký sử dụng </t>
  </si>
  <si>
    <t>Thẩm tra hiện trạng sử dụng, tình trạng pháp lý (nguồn gốc, thời điểm sử dụng, tình trạng tranh chấp, điều kiện quy hoạch) của hồ sơ, phân loại hồ sơ</t>
  </si>
  <si>
    <t>Thẩm tra tình trạng thửa đất (10% số hồ sơ)</t>
  </si>
  <si>
    <t>Lập danh sách và công bố công khai kết quả kiểm tra</t>
  </si>
  <si>
    <t>Nhận các ý kiến góp ý, xem xét các ý kiến góp ý, trả lời ý kiến góp ý (10% số hồ sơ phải trả lời)</t>
  </si>
  <si>
    <t>Xác nhận vào đơn đề nghị cấp GCN; chuyển hồ sơ cho VPĐK</t>
  </si>
  <si>
    <t>Đăng ký các thửa đất được giao quản lý</t>
  </si>
  <si>
    <t xml:space="preserve"> chỉ tính cho các bước 3.3 đến 3.5 của phần định mức được quy tại Thông tư số 50</t>
  </si>
  <si>
    <t>Trường hợp nhiều thửa đất lập chung trong 1 hồ sơ đăng ký  thì ngoài mức được tính ở trên, các thửa đất tăng thêm được tính mức bằng 0,30 lần định mức quy định trên đối với các bước công việc 2.2, 2.3)</t>
  </si>
  <si>
    <t>Tính 10% số hồ sơ</t>
  </si>
  <si>
    <t>Xã, thị trấn</t>
  </si>
  <si>
    <t>Xã thị trấn</t>
  </si>
  <si>
    <t>Phường</t>
  </si>
  <si>
    <t>30/20</t>
  </si>
  <si>
    <t>20/20</t>
  </si>
  <si>
    <t>60/20</t>
  </si>
  <si>
    <t>40/20</t>
  </si>
  <si>
    <t>Đơn giá Phường</t>
  </si>
  <si>
    <t>Đơn giá Xã, thị trấn</t>
  </si>
  <si>
    <t>Kinh phí khấu hao máy thiết bị 01 phường</t>
  </si>
  <si>
    <r>
      <t>Vận chuyển hồ sơ vào kho, xếp lên giá</t>
    </r>
    <r>
      <rPr>
        <sz val="13"/>
        <color rgb="FFFF0000"/>
        <rFont val="Times New Roman"/>
        <family val="1"/>
      </rPr>
      <t xml:space="preserve"> và giao, nhận tài liệu vào kho</t>
    </r>
  </si>
  <si>
    <t>TỔNG HỢP KHỐI LƯỢNG CƠ SỞ DỮ LIỆU</t>
  </si>
  <si>
    <t>(Số liệu tạm tính)</t>
  </si>
  <si>
    <t>Bảng tính thử</t>
  </si>
  <si>
    <t>Tổng số thửa đất trên địa bàn</t>
  </si>
  <si>
    <t>Căn cứ</t>
  </si>
  <si>
    <t>Số liệu cấp giấy chứng nhận</t>
  </si>
  <si>
    <t>Số trang quyét</t>
  </si>
  <si>
    <t>5.3-5.5</t>
  </si>
  <si>
    <t>Tổng bước 1,2,3 và Sổ ĐC điện tử</t>
  </si>
  <si>
    <t>Số liệu điều chỉnh</t>
  </si>
  <si>
    <t>Theo số liệu khảo sát lần 2</t>
  </si>
  <si>
    <t>Số thửa</t>
  </si>
  <si>
    <t xml:space="preserve">Tổng số GCN đã cấp </t>
  </si>
  <si>
    <t>Tổng số GCN có TS</t>
  </si>
  <si>
    <t>Số GCN không TS</t>
  </si>
  <si>
    <r>
      <t xml:space="preserve">Tỷ lệ cấp giấy </t>
    </r>
    <r>
      <rPr>
        <i/>
        <sz val="12"/>
        <rFont val="Times New Roman"/>
        <family val="1"/>
      </rPr>
      <t>(theo số liệu toàn tỉnh đến 15/6/2015)</t>
    </r>
  </si>
  <si>
    <t>(12)x12</t>
  </si>
  <si>
    <t>Đăng ký</t>
  </si>
  <si>
    <r>
      <t xml:space="preserve">Tổng số huyện </t>
    </r>
    <r>
      <rPr>
        <i/>
        <sz val="12"/>
        <rFont val="Times New Roman"/>
        <family val="1"/>
      </rPr>
      <t>(được lựa chọn)</t>
    </r>
  </si>
  <si>
    <t>Quản lý (10%)</t>
  </si>
  <si>
    <t>Cần cấp</t>
  </si>
  <si>
    <t>Đã cấp</t>
  </si>
  <si>
    <t>Số thửa được cấp chung GCN</t>
  </si>
  <si>
    <t>Cần ĐK</t>
  </si>
  <si>
    <t>1 giấy 1 thửa</t>
  </si>
  <si>
    <t>1 giấy nhiều thửa</t>
  </si>
  <si>
    <t>Hệ số nhập GCN nhiều thửa</t>
  </si>
  <si>
    <t>Xử lý tập tin quét</t>
  </si>
  <si>
    <t>Nhập thông tin thuộc tính</t>
  </si>
  <si>
    <t>Chuẩn bị và tiếp nhận</t>
  </si>
  <si>
    <t>Thẩm tra, xác nhận</t>
  </si>
  <si>
    <t xml:space="preserve">(6)x10% </t>
  </si>
  <si>
    <t>(6)-(7)</t>
  </si>
  <si>
    <t>(8)x(15)</t>
  </si>
  <si>
    <t>(9)-(13)-(14)</t>
  </si>
  <si>
    <t>(8)-(9)</t>
  </si>
  <si>
    <t>Tỉnh hoặc CT</t>
  </si>
  <si>
    <t>Theo dân số</t>
  </si>
  <si>
    <t>(12)-(13)-(14)</t>
  </si>
  <si>
    <t>(thửa)</t>
  </si>
  <si>
    <t>GCn có TS</t>
  </si>
  <si>
    <t>GCN ko có TS nhưng 1 giấy 1 thửa</t>
  </si>
  <si>
    <t>GCN ko TS nhiều thửa</t>
  </si>
  <si>
    <t>Thửa đất đăng ký</t>
  </si>
  <si>
    <t>Thửa quản lý</t>
  </si>
  <si>
    <t xml:space="preserve">Hoàn thiện dữ liệu </t>
  </si>
  <si>
    <t>Có</t>
  </si>
  <si>
    <t>Không</t>
  </si>
  <si>
    <t>(6)</t>
  </si>
  <si>
    <t>(7)</t>
  </si>
  <si>
    <t>(8)</t>
  </si>
  <si>
    <t>(9)</t>
  </si>
  <si>
    <t>(10)</t>
  </si>
  <si>
    <t>(11)</t>
  </si>
  <si>
    <t>(12)</t>
  </si>
  <si>
    <t>(13)</t>
  </si>
  <si>
    <t>(14)</t>
  </si>
  <si>
    <t>(15)</t>
  </si>
  <si>
    <t>(16)</t>
  </si>
  <si>
    <t>Chiêm Hóa</t>
  </si>
  <si>
    <t>Thành Phố Sơn La</t>
  </si>
  <si>
    <t>Quận Ngô Quyền</t>
  </si>
  <si>
    <t>Huyện Tiên Lãng</t>
  </si>
  <si>
    <t>Huyện Kiến Thụy</t>
  </si>
  <si>
    <t>Huyên Đồng Xuân</t>
  </si>
  <si>
    <t>1.3</t>
  </si>
  <si>
    <t>Đăng ký đất đai thường xuyên</t>
  </si>
  <si>
    <t>Hoàn thiện hồ sơ đối với các trường hợp có ý kiến góp ý, xác nhận vào đơn đề nghị cấp GCN; chuyển hồ sơ cho VPĐK</t>
  </si>
  <si>
    <t>xã 8.000/phường 5000 hồ sơ</t>
  </si>
  <si>
    <r>
      <t xml:space="preserve">Biên mục hồ sơ (sắp xếp hồ sơ theo hướng dẫn; </t>
    </r>
    <r>
      <rPr>
        <sz val="13"/>
        <color theme="1"/>
        <rFont val="Times New Roman"/>
        <family val="1"/>
      </rPr>
      <t>kẹp vào bìa hồ sơ; viết bìa hồ sơ</t>
    </r>
    <r>
      <rPr>
        <sz val="13"/>
        <color theme="1"/>
        <rFont val="Times New Roman"/>
        <family val="1"/>
      </rPr>
      <t>)</t>
    </r>
  </si>
  <si>
    <t>Vận chuyển hồ sơ vào kho, xếp lên giá</t>
  </si>
  <si>
    <t>Cộng (có 8% hao hụt) tính mức 250 bìa hồ sơ</t>
  </si>
  <si>
    <t xml:space="preserve">UBND HUYỆN KIM THÀNH </t>
  </si>
  <si>
    <t>CéNG HßA X· HéI CHñ NGHÜA VIÖT NAM</t>
  </si>
  <si>
    <t>PHÒNG TN &amp; MT</t>
  </si>
  <si>
    <t>Độc lập - Tự do - Hạnh phúc</t>
  </si>
  <si>
    <t>THỐNG KÊ HIỆN TRẠNG TÌNH HÌNH CẤP GiẤY CHỨNG NHẬN</t>
  </si>
  <si>
    <t xml:space="preserve">Đơn vị
hành chính </t>
  </si>
  <si>
    <t>Tổng số thửa đất trên bản đồ địa chính
(thửa)</t>
  </si>
  <si>
    <t>Tổng số thửa đất khu đo phi nông nghiệp
(thửa)</t>
  </si>
  <si>
    <t>Tổng số thửa đất khu đo nông nghiệp
(thửa)</t>
  </si>
  <si>
    <t>Tổng số GCN
(GCN)</t>
  </si>
  <si>
    <t>Sao chụp HSĐC
(trang A4)</t>
  </si>
  <si>
    <t>Tổng số thửa nhập liệu
(thửa)</t>
  </si>
  <si>
    <t>Tổng số thửa PNN nhập liệu
(thửa)</t>
  </si>
  <si>
    <t>Tổng số thửa NN nhập liệu
(thửa)</t>
  </si>
  <si>
    <t>Đất ở</t>
  </si>
  <si>
    <t>Đất nông nghiệp</t>
  </si>
  <si>
    <t>Số thửa đất (Thửa)</t>
  </si>
  <si>
    <t>Số GCN đã cấp 
(Giấy)</t>
  </si>
  <si>
    <t>Số thửa đã cấp GCN
(Thửa)</t>
  </si>
  <si>
    <t>Hệ số thửa /GCN nhiều thửa PNN</t>
  </si>
  <si>
    <t>Tổng số thửa đất (Thửa)</t>
  </si>
  <si>
    <t>Số thửa đã được cấp GCN
(Thửa)</t>
  </si>
  <si>
    <t>Hệ số thửa /GCN nhiều thửa NN</t>
  </si>
  <si>
    <t>Tổng số GCN cần cấp
(GCN)</t>
  </si>
  <si>
    <t>Số thửa cần cấp GCN (Thửa)</t>
  </si>
  <si>
    <t>Tổng huyện</t>
  </si>
  <si>
    <t>ĐVT: VN Đồng</t>
  </si>
  <si>
    <t>Áp dụng cho Qtr</t>
  </si>
  <si>
    <t>Khối lượng</t>
  </si>
  <si>
    <t>Chi phí Trực tiếp</t>
  </si>
  <si>
    <t>Chi phí chung (15%)</t>
  </si>
  <si>
    <t>Chi phí KTNT (4%)</t>
  </si>
  <si>
    <t>Tổng Chi phí trước thuế</t>
  </si>
  <si>
    <t>Thuế VAT (10%)</t>
  </si>
  <si>
    <t>Tổng Chi phí</t>
  </si>
  <si>
    <t>Quy trình 2: Xây dựng cơ sở dữ liệu địa chính đối với trường hợp đã thực hiện đăng ký, cấp giấy chứng nhận, đăng ký biến động đất đai theo Thông tư 18/2013/TT-BTNMT</t>
  </si>
  <si>
    <t>1, 2, 3</t>
  </si>
  <si>
    <t>Phân loại thửa đất và hoàn thiện hồ sơ địa chính hiện có (Bước 3)</t>
  </si>
  <si>
    <t xml:space="preserve">Xây dựng dữ liệu không gian địa chính (Bước 4) </t>
  </si>
  <si>
    <t>Chuyển đổi hệ tọa độ bản đồ địa chính</t>
  </si>
  <si>
    <t>Mảnh</t>
  </si>
  <si>
    <t>Xây dựng dữ liệu thuộc tính địa chính (Bước 5)</t>
  </si>
  <si>
    <t>Thửa đất loại A: Không nhập thông tin lịch sử thửa đất</t>
  </si>
  <si>
    <t>Quét (chụp) giấy tờ pháp lý về quyền sử dụng đất (Bước 6)</t>
  </si>
  <si>
    <t>Trang A4</t>
  </si>
  <si>
    <t>1, 2, 3, 4</t>
  </si>
  <si>
    <t>Thử nghiệm quản lý, khai thác, cập nhật cơ sở dữ liệu (Bước 9)</t>
  </si>
  <si>
    <t>Phục vụ kiểm tra, đánh giá chất lượng CSDL địa chính (Bước 10)</t>
  </si>
  <si>
    <t>Đóng gói, giao nộp sản phẩm CSDL địa chính (Bước 11)</t>
  </si>
  <si>
    <t>Tổng</t>
  </si>
  <si>
    <t>Số thửa cần đăng ký</t>
  </si>
  <si>
    <t>3.5.1</t>
  </si>
  <si>
    <t>3.5.2</t>
  </si>
  <si>
    <t>Theo dự thảo định mức</t>
  </si>
  <si>
    <t xml:space="preserve"> TỔNG HỢP ĐƠN GIÁ CHUYỂN ĐỔI CSDL ĐỊA CHÍNH</t>
  </si>
  <si>
    <t xml:space="preserve"> TỔNG HỢP ĐƠN GIÁ XÂY DỰNG CSDL ĐỊA CHÍNH</t>
  </si>
  <si>
    <t>Chuẩn hóa dữ liệu địa chính</t>
  </si>
  <si>
    <t>Xã mẫu theo TT 18</t>
  </si>
  <si>
    <t>Xã mẫu theo dự thảo</t>
  </si>
  <si>
    <t>ĐƠN GIÁ XÂY DỰNG CSDL THEO ĐỊNH MỨC 18</t>
  </si>
  <si>
    <t>ĐƠN GIÁ XÂY DỰNG CSDL THEO DỰ THẢO THÔNG TƯ</t>
  </si>
  <si>
    <t>Tổng Chi phí theo du thảo</t>
  </si>
  <si>
    <t>1KTV1+1KS4</t>
  </si>
  <si>
    <t>Giải trình</t>
  </si>
  <si>
    <t>Giữ nguyên như TT18</t>
  </si>
  <si>
    <t xml:space="preserve"> Xây dựng dữ liệu không gian đất đai nền</t>
  </si>
  <si>
    <t>7.2</t>
  </si>
  <si>
    <t>Chuẩn bị tư liệu, tài liệu và phục vụ giám sát, kiểm tra, nghiệm thu</t>
  </si>
  <si>
    <t>Xây dựng dữ liệu không gian đất đai nền</t>
  </si>
  <si>
    <t>Tính bằng 1/3 công chuyển đổi dữ liệu thuộc tính</t>
  </si>
  <si>
    <t>Giữ nguyên như TT18 (1/2 nhân công rà soát hoàn thiện chất lượng CSDL)</t>
  </si>
  <si>
    <t>Nhập bổ sung các trường dữ liệu và hoàn thiện dữ liệu thuộc tính địa chính</t>
  </si>
  <si>
    <t>Bằng 1/2 qui trình XDCSDL</t>
  </si>
  <si>
    <t>Nhập bổ sung thông tin siêu dữ liệu địa chính cho từng đơn vị hành chính cấp xã</t>
  </si>
  <si>
    <t>3.5.3</t>
  </si>
  <si>
    <t>3.5.4</t>
  </si>
  <si>
    <t>Chuẩn bị nhân lực, địa điểm làm việc</t>
  </si>
  <si>
    <t>Tích hợp dữ liệu vào hệ thống theo định kỳ hàng tháng phục vụ quản lý, vận hành, khai thác sử dụng</t>
  </si>
  <si>
    <t>1KTV4+1KS2</t>
  </si>
  <si>
    <t>Thửa chỉnh sửa lỗi đọc biên</t>
  </si>
  <si>
    <t>Thửa đất đã được cấp Giấy chứng nhận chưa có tài sản gắn liền với đất  (Thửa đất loại A);</t>
  </si>
  <si>
    <t>Thửa đất đã được cấp Giấy chứng nhận có tài sản gắn liền với đất (Thửa đất loại B);</t>
  </si>
  <si>
    <t>Thửa đất được cấp chung một Giấy chứng nhận (Thửa đất loại C)</t>
  </si>
  <si>
    <t>Tính bình quân 1 giấy cấp 5 thửa, mỗi hồ sơ phát sinh thêm thông tin 4 thửa (4*(6 thông tin thửa + 3 địa chỉ thửa)</t>
  </si>
  <si>
    <t>Căn hộ, văn phòng, cơ sở dịch vụ - thương mại trong nhà chung cư, nhà hỗn hợp đã được cấp Giấy chứng nhận (Thửa đất loại D);</t>
  </si>
  <si>
    <t>Thửa đất chưa được cấp Giấy chứng nhận hoặc không được cấp Giấy chứng nhận (Thửa đất loại E)</t>
  </si>
  <si>
    <t>Tích hợp CSDL cấp xã vào CSDL cấp huyện</t>
  </si>
  <si>
    <t>Chuẩn hóa các lớp đối tượng không gian địa chính</t>
  </si>
  <si>
    <t>Thực hiện xuất Sổ địa chính (điện tử) đối với những thửa đất chưa có Sổ địa chính (điện tử)</t>
  </si>
  <si>
    <t>Xây dựng dữ liệu nền không gian cả nước</t>
  </si>
  <si>
    <t>Tách, lọc và chuẩn hóa các lớp đối tượng biên giới, địa giới; thủy hệ; giao thông; địa danh và ghi chú</t>
  </si>
  <si>
    <t>Gộp các thành phần tiếp giáp nhau của cùng một đối tượng thuộc các lớp dữ liệu nền không gian cả nước thành một đối tượng duy nhất phù hợp với thông tin thuộc tính của đối tượng theo phạm vi cả nước;  xử lý tiếp biên dữ liệu nền không gian cả nước của các đơn vị hành chính</t>
  </si>
  <si>
    <t xml:space="preserve">Chuyển đổi các lớp đối tượng nền không gian cả nước từ tệp (File) bản đồ số vào cơ sở dữ liệu
</t>
  </si>
  <si>
    <t>Thực hiện đối soát, hoàn thiện dữ liệu, tạo liên kết dữ liệu</t>
  </si>
  <si>
    <t>Thu nhận các thông tin cần thiết về các dữ liệu để xây dựng siêu dữ liệu</t>
  </si>
  <si>
    <t>Nhập thông tin siêu dữ liệu</t>
  </si>
  <si>
    <t xml:space="preserve">Số lượng huyện cả nước </t>
  </si>
  <si>
    <t>Số huyện</t>
  </si>
  <si>
    <t>Một ngày làm 15 huyện</t>
  </si>
  <si>
    <t>Bình quân mỗi lớp 01 công</t>
  </si>
  <si>
    <t>Số lượng huyện</t>
  </si>
  <si>
    <t>Thay đổi về sử dụng đất</t>
  </si>
  <si>
    <r>
      <t xml:space="preserve">Đơn giá sản phẩm </t>
    </r>
    <r>
      <rPr>
        <b/>
        <sz val="10"/>
        <rFont val="Times New Roman"/>
        <family val="1"/>
      </rPr>
      <t>(trừ khấu hao)</t>
    </r>
  </si>
  <si>
    <t>Nhóm 2 (1KTV4+1KS2)</t>
  </si>
  <si>
    <t>Nhóm 3 (2KTV4+1KS3)</t>
  </si>
  <si>
    <t>Nhóm 1 (1KS3)</t>
  </si>
  <si>
    <t>Nhóm 1 (1KS1)</t>
  </si>
  <si>
    <t>Định mức (Công nhóm/ĐVT)</t>
  </si>
  <si>
    <t>Phục vụ kiểm tra cơ sở dữ liệu (Bước 8)</t>
  </si>
  <si>
    <t xml:space="preserve">Một ngày làm 03 huyện </t>
  </si>
  <si>
    <t>Tách, lọc và chuẩn hóa các lớp đối tượng không gian đất đai nền</t>
  </si>
  <si>
    <t xml:space="preserve">Tích hợp dữ liệu không gian đất đai nền </t>
  </si>
  <si>
    <t>Xử lý tiếp biên dữ liệu không gian đất đai nền giữa các đơn vị hành chính cấp xã, cấp huyện liền kề</t>
  </si>
  <si>
    <t>Lập bảng đối chiếu giữa lớp đối tượng không gian địa chính với nội dung tương ứng trong bản đồ địa chính để tách, lọc các đối tượng từ nội dung bản đồ địa chính</t>
  </si>
  <si>
    <t>Chuyển đổi bản trích đo địa chính theo hệ tọa độ quốc gia VN-2000 vào dữ liệu không gian địa chính</t>
  </si>
  <si>
    <t>Chuyển đổi vào dữ liệu không gian địa chính và định vị trên dữ liệu không gian đất đai nền sơ đồ, bản trích đo địa chính chưa theo hệ tọa độ quốc gia VN-2000 hoặc bản đồ giải thửa dạng số</t>
  </si>
  <si>
    <t xml:space="preserve"> Quét và định vị sơ bộ trên dữ liệu không gian đất đai nền sơ đồ, bản trích đo địa chính theo hệ tọa độ giả định hoặc bản đồ giải thửa dạng giấy</t>
  </si>
  <si>
    <t>Định vị khu vực dồn điền đổi thửa trên dữ liệu không gian đất đai nền trên cơ sở các hồ sơ, tài liệu hiện có</t>
  </si>
  <si>
    <t>Kiểm tra tính đầy đủ thông tin của thửa đất, lựa chọn tài liệu theo thứ tự ưu tiên</t>
  </si>
  <si>
    <t>Lập bảng tham chiếu số thửa cũ và số thửa mới đối với các thửa đất đã được cấp Giấy chứng nhận theo bản đồ cũ nhưng chưa cấp đổi Giấy chứng nhận</t>
  </si>
  <si>
    <t>Xuất sổ địa chính (điện tử) theo khuôn dạng tệp tin PDF</t>
  </si>
  <si>
    <t>Thu nhận các thông tin cần thiết để xây dựng siêu dữ liệu (thông tin mô tả dữ liệu) địa chính</t>
  </si>
  <si>
    <t>Nhập thông tin siêu dữ liệu địa chính cho từng đơn vị hành chính cấp xã</t>
  </si>
  <si>
    <t>Ký số vào sổ địa chính (điện tử)</t>
  </si>
  <si>
    <t>Phân loại thửa đất; lập biểu tổng hợp</t>
  </si>
  <si>
    <t xml:space="preserve">Rà soát, đánh giá, phân loại và sắp xếp tài liệu, dữ liệu </t>
  </si>
  <si>
    <t>Công tác chuẩn bị</t>
  </si>
  <si>
    <t>Thu thập tài liệu, dữ liệu</t>
  </si>
  <si>
    <t>Xây dựng dữ liệu thuộc tính địa chính</t>
  </si>
  <si>
    <t>Hoàn thiện dữ liệu địa chính</t>
  </si>
  <si>
    <t>Xây dựng siêu dữ liệu địa chính</t>
  </si>
  <si>
    <t>Chuyển đổi dữ liệu địa chính</t>
  </si>
  <si>
    <t>Chuyển đổi cấu trúc dữ liệu không gian địa chính</t>
  </si>
  <si>
    <t>Chuyển đổi cấu trúc dữ liệu thuộc tính địa chính</t>
  </si>
  <si>
    <t>Chuyển đổi cấu trúc dữ liệu hồ sơ quét</t>
  </si>
  <si>
    <t>Bổ sung, hoàn thiện dữ liệu địa chính</t>
  </si>
  <si>
    <t xml:space="preserve">Rà soát, bổ sung dữ liệu không gian địa chính </t>
  </si>
  <si>
    <t>Rà soát, bổ sung dữ liệu thuộc tính địa chính</t>
  </si>
  <si>
    <t>4.3</t>
  </si>
  <si>
    <t>Chuyển đổi siêu dữ liệu địa chính</t>
  </si>
  <si>
    <t>Thực hiện ký số vào Sổ địa chính (điện tử) đối với trường hợp xuất mới sổ địa chính (điện tử)</t>
  </si>
  <si>
    <t>Lập kế hoạch thi công chi tiết: Xác định thời gian, địa điểm, khối lượng và nhân lực thực hiện của từng bước công việc; kế hoạch làm việc với các đơn vị có liên quan đến công tác xây dựng cơ sở dữ liệu địa chính</t>
  </si>
  <si>
    <t xml:space="preserve">Chuẩn bị vật tư, thiết bị, dụng cụ, phần mềm cho công tác xây dựng cơ sở dữ liệu địa chính; Chuẩn bị nhân lực, địa điểm làm việc
</t>
  </si>
  <si>
    <t>Xây dựng dữ liệu không gian</t>
  </si>
  <si>
    <t>Xây dựng dữ liệu thuộc tính</t>
  </si>
  <si>
    <t>Chiết xuất dữ liệu tổng hợp về đo đạc lập bản đồ địa chính, đăng ký đất đai, cấp Giấy chứng nhận quyền sử dụng đất, quyền sở hữu nhà ở và tài sản khác gắn liền với đất, lập hồ sơ địa chính từ cơ sở dữ liệu đất đai</t>
  </si>
  <si>
    <t>Nhập, chuyển đổi dữ liệu, tài liệu tổng hợp về đo đạc lập bản đồ địa chính, đăng ký đất đai, cấp Giấy chứng nhận quyền sử dụng đất, quyền sở hữu nhà ở và tài sản khác gắn liền với đất, lập hồ sơ địa chính của các tỉnh, thành phố trực thuộc Trung ương (đối với các địa bàn chưa vận hành cơ sở dữ liệu đất đai tập trung)</t>
  </si>
  <si>
    <t>Đối soát, hoàn thiện dữ liệu và xây dựng siêu dữ liệu</t>
  </si>
  <si>
    <t>Định mức 18</t>
  </si>
  <si>
    <t xml:space="preserve">Tăng số với ĐM TT18 do tăng nội ndung thực hiện (lập kế hoạch) và kinh nghiệm triển khai trong thực tế
Chuyển từ KTV6 sang KS2 </t>
  </si>
  <si>
    <t xml:space="preserve">Giữ nguyên như TT18, Chuyển từ KTV6 sang KS3 </t>
  </si>
  <si>
    <t>Bổ sung thêm so với TT18
Cụ thể trong hạng mục sắp xếp hồ sơ lưu trữ</t>
  </si>
  <si>
    <t>Không có trong TT18</t>
  </si>
  <si>
    <t xml:space="preserve">Giữ nguyên như TT18. Chuyển từ KS4 về KS3 </t>
  </si>
  <si>
    <t>Theo kết quả làm thử. 1 công làm được 20 thửa trên mảnh trích đo</t>
  </si>
  <si>
    <t>Theo kết quả làm thử. 1 công làm được 10 thửa</t>
  </si>
  <si>
    <t>Tăng so với TT18 do trên thực tế công để  xử lý ảnh quét đảm bảo chất lượng ảnh, hình ảnh theo một hướng, vuông góc, không được cong vênh và sắp xếp theo đúng thứ tự. Kết quả làm thử 1 ngày 50 bộ hồ sơ (Một bộ hồ sơ 5 trang: 1/50 hồ sơ /5 trang)</t>
  </si>
  <si>
    <t>Theo kết quả tính thử, 1 công làm được 100 thửa</t>
  </si>
  <si>
    <t>Theo kết quả tính thử, 1 công làm được 20 thửa</t>
  </si>
  <si>
    <t>Giữ nguyên theo TT18 (đơn vị trường dữ liệu). Tính theo định mức nhập 46 trường số liệu của thửa đất phi nông nghiệp (Thửa đất loại A: đất chưa có tài sản gắn liền với đất) 0,1034*(46/34)= 0,1399</t>
  </si>
  <si>
    <t>Điều chỉnh công nhóm 2KS1 + 1KS2  thành 1KS2 (Chuyển đơn vị tính từ thửa về xã, 30 công cho 1 xã chuẩn)</t>
  </si>
  <si>
    <t>Làm thử:: 200 thửa/ 1 công Dựa hạng mục lập, hoàn thiện sổ địa chính điện tử của Thông tư Đăng ký Xin ý kiến cụ thể vì liên quan đến vị trí việc làm</t>
  </si>
  <si>
    <t>Giữ nguyên như TT18 chuyển định biên KS4 sang KS3</t>
  </si>
  <si>
    <t>XÂY DỰNG CƠ SỞ DỮ LIỆU ĐỊA CHÍNH ĐỐI VỚI TRƯỜNG HỢP THỰC HIỆN ĐỒNG BỘ VỚI LẬP, CHỈNH LÝ BẢN ĐỒ ĐỊA CHÍNH VÀ ĐĂNG KÝ ĐẤT ĐAI, CẤP GIẤY CHỨNG NHẬN QUYỀN SỬ DỤNG ĐẤT, QUYỀN SỞ HỮU NHÀ Ở VÀ TÀI SẢN KHÁC GẮN LIỀN VỚI ĐẤT</t>
  </si>
  <si>
    <t>Chỉ tính công thu thập các tài liệu còn lưu trữ  không thực hiện cấp đổi</t>
  </si>
  <si>
    <t>Định biên nhân công</t>
  </si>
  <si>
    <t>Bằng qui trình XDCSDL địa chính</t>
  </si>
  <si>
    <t>Gộp các thành phần tiếp giáp nhau của cùng một đối tượng không gian đất đai nền thành một đối tượng duy nhất phù hợp với thông tin thuộc tính của đối tượng theo phạm vi đơn vị hành chính cấp xã</t>
  </si>
  <si>
    <t>Quét giấy tờ pháp lý và xử lý tập tin</t>
  </si>
  <si>
    <t>Quét giấy tờ pháp lý về quyền sử dụng đất, quyền sở hữu nhà ở và tài sản khác gắn liền với đất</t>
  </si>
  <si>
    <t>Quét trang A3</t>
  </si>
  <si>
    <t>Quét trang A4</t>
  </si>
  <si>
    <t>Nhập thông tin từ tài liệu đã lựa chọn</t>
  </si>
  <si>
    <t>Thời gian
SD máy
(năm)</t>
  </si>
  <si>
    <t>nghĩa vụ tài chính</t>
  </si>
  <si>
    <t xml:space="preserve">Tăng so với TT18 do trên thực tế công  theo kết quả làm thử 1 ngày 100 bộ hồ sơ </t>
  </si>
  <si>
    <t>Lập, chỉnh lý bản đồ địa chính gắn với xây dựng dữ liệu không gian</t>
  </si>
  <si>
    <t>Thành tiền theo ĐVT</t>
  </si>
  <si>
    <t>Thành tiền cả xã
(8000 thửa/xã)</t>
  </si>
  <si>
    <t>1KS3</t>
  </si>
  <si>
    <t>1KS4</t>
  </si>
  <si>
    <t>1KS2</t>
  </si>
  <si>
    <t>4.1.3</t>
  </si>
  <si>
    <t>4.4</t>
  </si>
  <si>
    <t>Đối với khu vực chưa có bản đồ đia chính</t>
  </si>
  <si>
    <t xml:space="preserve"> Phục vụ kiểm tra, nghiệm thu cơ sở dữ liệu địa chính</t>
  </si>
  <si>
    <t>Bộ dữ liệu</t>
  </si>
  <si>
    <t>\</t>
  </si>
  <si>
    <t>Thành tiền (theo ĐVT)</t>
  </si>
  <si>
    <t>Chuẩn bị tư liệu, tài liệu và phục vụ giám sát, kiểm tra, nghiệm thu; tổng hợp, xác định khối lượng sản phẩm đã thực hiện theo định kỳ hàng tháng, theo công đoạn công trình và khi kết thúc công trình. Lập biên bản bàn giao dữ liệu địa chính</t>
  </si>
  <si>
    <t>8.1</t>
  </si>
  <si>
    <t>8.2</t>
  </si>
  <si>
    <t>8.3</t>
  </si>
  <si>
    <t>Chuẩn bị tư liệu, tài liệu và phục vụ giám sát, kiểm tra, nghiệm thu; tổng hợp, xác định khối lượng sản phẩm đã thực hiện khi kết thúc công trình; lập biên bản bàn giao dữ liệu địa chính</t>
  </si>
  <si>
    <t>Định mức
(Ca/thửa)</t>
  </si>
  <si>
    <t>Tổng xã tính thử</t>
  </si>
  <si>
    <t>1.4</t>
  </si>
  <si>
    <t>Xử lý biên theo quy định về bản đồ đối với các tài liệu bản đồ tiếp giáp nhau</t>
  </si>
  <si>
    <t>Định mức áp dụng cho trường hợp toàn bộ là địa chính. Hệ số k điều chỉnh cho thêm 2 trường hợp: hỗn hợp địa chính + hiện trạng; toàn bộ là hiện trạng</t>
  </si>
  <si>
    <t>hệ số điều chỉnh</t>
  </si>
  <si>
    <t>Trường hợp xây dựng từ nguồn bản đồ địa chính</t>
  </si>
  <si>
    <t>Trường hợp xây dựng từ nguồn bản đồ địa chính kết hợp với bản đồ hiện trạng</t>
  </si>
  <si>
    <t>Trường hợp xây dựng từ nguồn bản đồ hiện trạng</t>
  </si>
  <si>
    <t>Việc chuyển đổi áp dụng đối với từng thửa đất, do vậy việc hoàn thiện thửa sẽ phải làm liên tục</t>
  </si>
  <si>
    <t>Do thay đổi quy trình nghiệm thu theo định kỳ, dự kiến thi công 01 xã khoảng 18 tháng tương đương 18 lần x 03 công/01 lần nghiệm thu</t>
  </si>
  <si>
    <t>Nhóm 2 (1KTV4+1KS3)</t>
  </si>
  <si>
    <t>Quét tài liệu pháp lý và xử lý tập tin</t>
  </si>
  <si>
    <t>Dự kiến khối lượng</t>
  </si>
  <si>
    <t>Xử lý các tệp tin quét thành tệp (File) hồ sơ quét dạng số của thửa đất, lưu trữ dưới khuôn dạng tệp tin PDF (ở định dạng không chỉnh sửa được)</t>
  </si>
  <si>
    <t>Số lượng</t>
  </si>
  <si>
    <t>0,8</t>
  </si>
  <si>
    <t>Đối soát dữ liệu (do Văn phòng đăng ký đất đai thực hiện)</t>
  </si>
  <si>
    <t>Có liên hệ nhưng chỉ liên hệ với văn phòng đkđđ không phai liên hệ nhiều như XD mới</t>
  </si>
  <si>
    <t>Giữ nguyên như TT 18</t>
  </si>
  <si>
    <t>Kiểm tra nhập bổ sung và rà soat phần dữ liệu cũ</t>
  </si>
  <si>
    <t>Vận dụng như TT18 hạng mục hoàn thiện dữ liệu địa chính nhưng do VPĐKĐĐ thực hiện</t>
  </si>
  <si>
    <t xml:space="preserve">Giữ nguyên như TT18 Chuyển từ 2KTV4 sang 1KS3; </t>
  </si>
  <si>
    <t xml:space="preserve">Giữ nguyên như TT18
Rà soát dữ liệu chuyển từ 2KTV4 về 1 KS3 (0,0054).
</t>
  </si>
  <si>
    <t>VPĐK</t>
  </si>
  <si>
    <t>Giữ nguyên như TT18. Chuyển từ KTV6 về KS3 giảm 0,0025</t>
  </si>
  <si>
    <t>Công tổng</t>
  </si>
  <si>
    <t>Hệ máy để bàn</t>
  </si>
  <si>
    <t>Hệ đh máy chủ</t>
  </si>
  <si>
    <t>Hệ quản trị CSDL</t>
  </si>
  <si>
    <t>Phần mềm biên tập dữ liệu không gian</t>
  </si>
  <si>
    <t>Bằng 30% qui trình XDCSDL địa chính</t>
  </si>
  <si>
    <t>Lấy theo thông tư Đăng ký (25% định mức của hạng mục Lập, cập nhật hoàn thiện Sổ địa chính điện tử)</t>
  </si>
  <si>
    <t>Lấy bằng chuyển đổi dữ liệu thuộc tính địa chính</t>
  </si>
  <si>
    <t>Công VPĐK</t>
  </si>
  <si>
    <t>dã có CSDL vận hành lên công đối soát giảm so với khi làm mới</t>
  </si>
  <si>
    <t>Tính 50% số thửa đất</t>
  </si>
  <si>
    <t>Tính bằng 20% làm mới</t>
  </si>
  <si>
    <t>70% trên tổng số thửa do 20% đất quản lý, 10% chưa cấp giấy</t>
  </si>
  <si>
    <t>Bằng 50% nhân công của XD mới vì tính như sử dụng nguồn bàn đồ hiện trạng</t>
  </si>
  <si>
    <t>Tổng số thửa</t>
  </si>
  <si>
    <t>Cấp giấy</t>
  </si>
  <si>
    <t>Thửa cần đăng ký</t>
  </si>
  <si>
    <t/>
  </si>
  <si>
    <t>Thu thập tài liệu phục vụ công tác xây dựng cơ sở dữ liệu địa chính</t>
  </si>
  <si>
    <t>Tích hợp dữ liệu vào hệ thống</t>
  </si>
  <si>
    <t>Áp dụng theo TT18 áp dụng mục 3,4 của Bảng 6;  80 công/xã chuẩn 8000 thửa</t>
  </si>
  <si>
    <t>Mục 3.3 được tính thêm hộp đựng tài liệu phục vụ cho công tác sắp xếp Hồ sơ đăng ký đất đai, tài sản gắn liền với đất (trong quá trình sắp xếp có thể có 30% số hộp đựng hồ sơ bị rách hỏng)</t>
  </si>
  <si>
    <t>Thu nhận bổ sung các thông tin cần thiết để xây dựng siêu dữ liệu địa chính (thu nhận bổ sung thông tin)</t>
  </si>
  <si>
    <t>(MicroSoft SQL Server hoặc tương đương)</t>
  </si>
  <si>
    <t>Hệ quản trị dữ liệu không gian</t>
  </si>
  <si>
    <t xml:space="preserve">Phần mềm ArcGIS Server của hãng ESRI (17.000 $). </t>
  </si>
  <si>
    <t xml:space="preserve">Phần mềm biên tập bản đồ </t>
  </si>
  <si>
    <t>Phần mềm ArcEditor của hãng ESRI (7.000 $)</t>
  </si>
  <si>
    <t>Hệ quản trị cơ sở dữ liệu thuộc tính</t>
  </si>
  <si>
    <t>`</t>
  </si>
  <si>
    <t xml:space="preserve">Đơn giá điện cho </t>
  </si>
  <si>
    <t>Công xuất tiêu thụ điệu theo giờ điều hòa</t>
  </si>
  <si>
    <t xml:space="preserve">Công xuất tiêu thị điện 1 ca của điều hòa </t>
  </si>
  <si>
    <t xml:space="preserve">Tiền điện ngày cho điều hòa </t>
  </si>
  <si>
    <t xml:space="preserve">NHân công sử dụng điều hòa cho hạng mục công việc </t>
  </si>
  <si>
    <t>Tiền điện sử dụng điều hòa cho hạng mục công việc</t>
  </si>
  <si>
    <t>Định mức (Công /xã)</t>
  </si>
  <si>
    <t>Định mức sử dụng chung (cán bộ/thiết bị</t>
  </si>
  <si>
    <t>Định mức sử dụng chung (cán bộ/Thiết bị</t>
  </si>
  <si>
    <t>Định mức (Công nhóm/Thửa)</t>
  </si>
  <si>
    <t>Định mức
(tính cho 01 xã)</t>
  </si>
  <si>
    <t>Định mức
(tính cho 01 thửa đất)</t>
  </si>
  <si>
    <r>
      <t xml:space="preserve">Định mức </t>
    </r>
    <r>
      <rPr>
        <sz val="12"/>
        <color theme="1"/>
        <rFont val="Times New Roman"/>
        <family val="1"/>
        <charset val="163"/>
      </rPr>
      <t>(Công nhóm/Thửa)</t>
    </r>
  </si>
  <si>
    <t>Rà soát, đánh giá tài liệu, dữ liệu; lập báo cáo kết quả thực hiện</t>
  </si>
  <si>
    <t>Đối soát, tích hợp dữ liệu vào hệ thống (do Văn phòng Đăng ký đất đai thực hiện)</t>
  </si>
  <si>
    <r>
      <t xml:space="preserve">Định mức </t>
    </r>
    <r>
      <rPr>
        <sz val="12"/>
        <rFont val="Times New Roman"/>
        <family val="1"/>
        <charset val="163"/>
      </rPr>
      <t>(Công/ĐVT)</t>
    </r>
  </si>
  <si>
    <r>
      <t xml:space="preserve">Định mức
</t>
    </r>
    <r>
      <rPr>
        <sz val="12"/>
        <rFont val="Times New Roman"/>
        <family val="1"/>
        <charset val="163"/>
      </rPr>
      <t>(tính cho 01 xã)</t>
    </r>
  </si>
  <si>
    <r>
      <t xml:space="preserve">Định mức </t>
    </r>
    <r>
      <rPr>
        <sz val="12"/>
        <rFont val="Times New Roman"/>
        <family val="1"/>
        <charset val="163"/>
      </rPr>
      <t>(Ca/ trang; Ca/thửa đất)</t>
    </r>
  </si>
  <si>
    <t>Tạo liên kết hồ sơ quét dạng số với thửa đất trong cơ sở dữ liệu (Tính cho 01 thửa đất)</t>
  </si>
  <si>
    <t>Quét giấy tờ pháp lý về quyền sử dụng đất, quyền sở hữu nhà ở và tài sản khác gắn liền với đất (Tính cho trang A4 hoặc A3)</t>
  </si>
  <si>
    <t>Áp dụng 0,5 định mức tại Mục 2 Bảng số 01</t>
  </si>
  <si>
    <t>Áp dụng định mức tại các Mục 1.2, 1.3, 1.4 và 2.2 Bảng số 02</t>
  </si>
  <si>
    <t>Áp dụng định mức tại Mục 7 Bảng số 01</t>
  </si>
  <si>
    <t>Áp dụng 0,25 định mức tại Mục 8.3 Bảng số 01</t>
  </si>
  <si>
    <t>Áp dụng định mức tại Mục 9 Bảng số 01</t>
  </si>
  <si>
    <t>Áp dụng 0,5 định mức   tại Mục 2 Bảng số 04</t>
  </si>
  <si>
    <t>Áp dụng định mức tại các Mục 1.2, 1.3, 1.4 và 2.2   Bảng số 05</t>
  </si>
  <si>
    <t>Áp dụng định mức tại Mục 7 Bảng số 04</t>
  </si>
  <si>
    <t>Áp dụng 0,25 định mức tại Mục 8.3 Bảng số 04</t>
  </si>
  <si>
    <t>Áp dụng định mức tại Mục 9 Bảng số 04</t>
  </si>
  <si>
    <t>Áp dụng 0,5 định mức  tại Mục 2 Bảng số 08</t>
  </si>
  <si>
    <t>Áp dụng định mức tại các Mục 1.2, 1.3, 1.4 và 2.2 Bảng số 10</t>
  </si>
  <si>
    <t>Áp dụng 0,25 định mức tại Mục 8.3 Bảng số 08</t>
  </si>
  <si>
    <t>Áp dụng định mức tại Mục 9 Bảng số 08</t>
  </si>
  <si>
    <t>Áp dụng định mức tại Mục 7 Bảng số 08</t>
  </si>
  <si>
    <t>Áp dụng 0,5 định mức  tại Mục 2 Bảng số 14</t>
  </si>
  <si>
    <t>Áp dụng định mức tại các Mục 1.2, 1.3, 1.4 và 2.2 Bảng số 16</t>
  </si>
  <si>
    <t>Áp dụng định mức tại Mục 7 Bảng số 14</t>
  </si>
  <si>
    <t>Áp dụng 0,25 định mức  tại Mục 8.3 Bảng số 14</t>
  </si>
  <si>
    <t>Áp dụng định mức tại Mục 9 Bảng số 14</t>
  </si>
  <si>
    <t>Định mức
(tính cho 01 thửa)</t>
  </si>
  <si>
    <t>Chuẩn bị nhân lực, địa điểm làm việc; chuẩn bị vật tư, thiết bị, dụng cụ, phần mềm phục vụ cho công tác xây dựng CSDL địa chính.</t>
  </si>
  <si>
    <t>Chuẩn hóa các lớp đối tượng không gian địa chính chưa phù hợp với quy định kỹ thuật về CSDL đất đai</t>
  </si>
  <si>
    <t>Rà soát chuẩn hóa thông tin thuộc tính cho từng đối tượng không gian địa chính theo quy định kỹ thuật về CSDL đất đai</t>
  </si>
  <si>
    <t>Chuyển đổi các lớp đối tượng không gian địa chính từ tệp (File) bản đồ số vào CSDL theo phạm vi đơn vị hành chính cấp xã</t>
  </si>
  <si>
    <t>Hoàn thiện 100% thông tin trong CSDL</t>
  </si>
  <si>
    <t>Đối soát thông tin của thửa đất trong CSDL với nguồn tài liệu, dữ liệu đã sử dụng để xây dựng CSDL</t>
  </si>
  <si>
    <t>Phục vụ kiểm tra, nghiệm thu CSDL địa chính</t>
  </si>
  <si>
    <t>BẢNG TÍNH THỬ ĐƠN GIÁ 
XÂY DỰNG CSDL KHÔNG GIAN ĐẤT ĐAI NỀN 
Chuyển đổi, bổ sung, hoàn thiện CSDL địa chính đã xây dựng trước ngày 01 tháng 8 năm 2016 (ngày thông tư số 75/2015/TT-BTNMT có hiệu lực thi hành)</t>
  </si>
  <si>
    <t>Chuyển đổi các lớp đối tượng không gian đất đai nền từ tệp (File) bản đồ số vào CSDL</t>
  </si>
  <si>
    <t>Tích hợp dữ liệu không gian đất đai nền vào CSDL đất đai để quản lý, vận hành, khai thác sử dụng</t>
  </si>
  <si>
    <t>Tạo liên kết hồ sơ quét dạng số với thửa đất trong CSDL</t>
  </si>
  <si>
    <t>Lập kế hoạch thi công chi tiết: Xác định thời gian, địa điểm, khối lượng và nhân lực thực hiện của từng bước công việc; lập kế hoạch làm việc với các đơn vị có liên quan đến công tác chuyển đổi, bổ sung, hoàn thiện CSDL địa chính trên địa bàn thi công</t>
  </si>
  <si>
    <t>Chuẩn bị nhân lực, địa điểm làm việc; chuẩn bị vật tư, thiết bị, dụng cụ, cài đặt phần mềm phục vụ cho công tác chuyển đổi, bổ sung, hoàn thiện CSDL địa chính</t>
  </si>
  <si>
    <t>Lập mô hình chuyển đổi cấu trúc dữ liệu của CSDL địa chính đã xây dựng sang cấu trúc dữ liệu hiện hành</t>
  </si>
  <si>
    <t>Thực hiện hoàn thiện 100% thông tin trong CSDL đã được chuyển đổi, bổ sung</t>
  </si>
  <si>
    <t>Đối soát thông tin của thửa đất trong CSDL đã được chuyển đổi, bổ sung với nguồn tài liệu, dữ liệu đã sử dụng để xây dựng CSDL đối với trường hợp phải xuất mới sổ địa chính (điện tử)</t>
  </si>
  <si>
    <t>Máy chủ</t>
  </si>
  <si>
    <t>Nội dung công việc và danh mục dụng cụ</t>
  </si>
  <si>
    <t>Nội dung công việc và danh mục vật liệu</t>
  </si>
  <si>
    <t>Xây dựng dữ liệu không gian nền</t>
  </si>
  <si>
    <t>Nhà thầu thực hiện</t>
  </si>
  <si>
    <t>II</t>
  </si>
  <si>
    <t>Loại thửa đất</t>
  </si>
  <si>
    <t>Đơn giá trực tiếp</t>
  </si>
  <si>
    <t>ĐƠN GIÁ PHÂN THEO LOẠI ĐẤT</t>
  </si>
  <si>
    <t>Nhóm 2 (1KTV2+1KS4)</t>
  </si>
  <si>
    <t>Nhóm 2 (1KTV1+1KS3)</t>
  </si>
  <si>
    <t>Các nhân tố ảnh hưởng đến giá đất</t>
  </si>
  <si>
    <t>Mức hệ số</t>
  </si>
  <si>
    <t>K</t>
  </si>
  <si>
    <t>Đơn giá thửa đất</t>
  </si>
  <si>
    <t xml:space="preserve">Nhiệm vụ XDCSDL do Văn phòng đăng ký đất đai tham giathực thiện </t>
  </si>
  <si>
    <t xml:space="preserve">Nhiệm vụ XDCSDL do Văn phòng đăng ký đất đai tham gia thực thiện </t>
  </si>
  <si>
    <t>Đối với tất cả các thửa đất không thực hiện kê khai đăng ký bổ sung</t>
  </si>
  <si>
    <t>Thửa đất phải kê khai đăng ký bổ sung (thửa đất E2)</t>
  </si>
  <si>
    <t>Chỉ tính bước 8</t>
  </si>
  <si>
    <t>Nhiệm vụ do nhà thầu thực hiện tính cho thửa đất cơ bản</t>
  </si>
  <si>
    <t>Đơn giá thửa đất không tính dữ liệu không gian, dữ liệu thuộc tính, bản đồ nền và quét hồ sơ</t>
  </si>
  <si>
    <t xml:space="preserve">Xây dựng dữ liệu không gian địa chính </t>
  </si>
  <si>
    <t xml:space="preserve"> - Khu vực có bản đồ địa chính</t>
  </si>
  <si>
    <t xml:space="preserve">Nhập dữ liệu thuộc tính </t>
  </si>
  <si>
    <t xml:space="preserve">Quét hồ sơ </t>
  </si>
  <si>
    <t>Quét hồ sơ thửa đất tiêu chuẩn</t>
  </si>
  <si>
    <t>Quét hồ sơ thửa đất loại E</t>
  </si>
  <si>
    <t>Đơn giá cho các thửa đất chi tiết</t>
  </si>
  <si>
    <t>Kê khai đăng ký bổ sung</t>
  </si>
  <si>
    <t>4.3.3</t>
  </si>
  <si>
    <t xml:space="preserve">Thửa đất đã được đo đạc bản đồ địa chính </t>
  </si>
  <si>
    <t>Thửa đất loại II (Thửa B và D)</t>
  </si>
  <si>
    <t>Thửa đất loại I (Thửa A)</t>
  </si>
  <si>
    <t>Thửa đất loại III (Thửa C)</t>
  </si>
  <si>
    <t>Thửa đất loại IV (Thửa E)</t>
  </si>
  <si>
    <t>Thửa đất kê khai đăng ký bổ sung</t>
  </si>
  <si>
    <t>Loại II: Thửa đất loại B (đã được cấp Giấy chứng nhận và có tài sản gắn liền với đất); Thửa đất loại D (Căn hộ, văn phòng, cơ sở dịch vụ - thương mại trong nhà chung cư, nhà hỗn hợp đã được cấp Giấy chứng nhận)</t>
  </si>
  <si>
    <t>Loại I: Thửa đất loại A (đã được cấp Giấy chứng nhận chưa có tài sản gắn liền với đất)</t>
  </si>
  <si>
    <t>Loại III:  Thửa đất loại C (Giấy chứng nhận cấp chung cho nhiều thửa đất)</t>
  </si>
  <si>
    <t>Loại IV: Thửa đất loại E (chưa được cấp Giấy chứng nhận hoặc không được cấp Giấy chứng nhận) K = 0,5</t>
  </si>
  <si>
    <t>Ghi chú cách tính số trang hồ sơ quét:</t>
  </si>
  <si>
    <t>Quét trang A3 (Quét GCN)</t>
  </si>
  <si>
    <t>Nội dung</t>
  </si>
  <si>
    <t>Quét trang A4 (Đơn đăng ký và chứng từ thực hiện nghĩa vu tài chính</t>
  </si>
  <si>
    <t>ĐVT/thửa đất</t>
  </si>
  <si>
    <t>5.3.1</t>
  </si>
  <si>
    <t>5.3.2</t>
  </si>
  <si>
    <t>5.3.3</t>
  </si>
  <si>
    <t>5.3.4</t>
  </si>
  <si>
    <r>
      <t xml:space="preserve">Làm sạch, sắp xếp và đánh số thứ tự theo quy định về hồ sơ địa chính đối với Hồ sơ đăng ký đất đai, tài sản gắn liền với đất </t>
    </r>
    <r>
      <rPr>
        <i/>
        <sz val="12"/>
        <color theme="1"/>
        <rFont val="Times New Roman"/>
        <family val="1"/>
        <charset val="163"/>
      </rPr>
      <t>(Chỉ thực hiện đối với các thửa đã được cấp GCN; trường hợp tổ chức xây dựng CSDL đất đai kết hợp với tổ chức sắp xếp lại kho lưu trữ tài liệu đất đai thì định mức sắp xếp kho lưu trữ được tính theo định mức kinh tế - kỹ thuật về lưu trữ tài liệu đất đai và định mức xây dựng CSDL đất đai không tính nội dung công việc này</t>
    </r>
    <r>
      <rPr>
        <sz val="12"/>
        <color theme="1"/>
        <rFont val="Times New Roman"/>
        <family val="1"/>
      </rPr>
      <t>)</t>
    </r>
  </si>
  <si>
    <t>Sản phẩm</t>
  </si>
  <si>
    <t>Áp dụng định mức tại các Mục 4.2 Bảng số 01</t>
  </si>
  <si>
    <t>Áp dụng định mức tại các Mục 4.2 Bảng số 04</t>
  </si>
  <si>
    <t>Áp dụng định mức tại các Mục 4.2  Bảng số 08</t>
  </si>
  <si>
    <t>Áp dụng  định mức tại các Mục 4.2 Bảng số 14</t>
  </si>
  <si>
    <t>Định mức
(tính ca/01 xã)</t>
  </si>
  <si>
    <t>BHXH, Ytế, CĐ, TN</t>
  </si>
  <si>
    <t xml:space="preserve">Phụ cấp lưu động </t>
  </si>
  <si>
    <t>Lập kế hoạch thi công chi tiết: xác định thời gian, địa điểm, khối lượng và nhân lực thực hiện của từng bước công việc; lập kế hoạch làm việc với các đơn vị có liên quan đến công tác xây dựng CSDL địa chính trên địa bàn thi công</t>
  </si>
  <si>
    <t>III</t>
  </si>
  <si>
    <t>Lương ngày</t>
  </si>
  <si>
    <r>
      <t>Định mức</t>
    </r>
    <r>
      <rPr>
        <sz val="12"/>
        <rFont val="Times New Roman"/>
        <family val="1"/>
      </rPr>
      <t xml:space="preserve"> (công /xã)</t>
    </r>
  </si>
  <si>
    <r>
      <t xml:space="preserve"> TỔNG HỢP ĐƠN GIÁ XÂY DỰNG CSDL ĐỊA CHÍNH
</t>
    </r>
    <r>
      <rPr>
        <b/>
        <sz val="13"/>
        <rFont val="Times New Roman"/>
        <family val="1"/>
      </rPr>
      <t>(Xây dựng CSDL địa chính đối với trường hợp đã thực hiện đăng ký, cấp giấy chứng nhận)</t>
    </r>
  </si>
  <si>
    <t>Đơn vị tính</t>
  </si>
  <si>
    <t>LĐKT</t>
  </si>
  <si>
    <r>
      <t xml:space="preserve">Đơn giá sản phẩm do đơn vị sự nghiệp thực hiện </t>
    </r>
    <r>
      <rPr>
        <sz val="12"/>
        <rFont val="Times New Roman"/>
        <family val="1"/>
      </rPr>
      <t>(trừ khấu hao)</t>
    </r>
  </si>
  <si>
    <t>Phụ cấp khu vực 0,1</t>
  </si>
  <si>
    <t>Phụ cấp khu vực 0,1
(CPTT)</t>
  </si>
  <si>
    <t>Phụ cấp khu vực 0,1
(CP chung)</t>
  </si>
  <si>
    <t>Chi phí chung
(15%)</t>
  </si>
  <si>
    <t>8 trang A3</t>
  </si>
  <si>
    <t>3 trang A4</t>
  </si>
  <si>
    <t>Tổng thửa 20 xã</t>
  </si>
  <si>
    <t>Thửa cấp giấy (80% số thửa): 1 GCN đất NN cấp 3 thửa</t>
  </si>
  <si>
    <t>Hệ số
lương</t>
  </si>
  <si>
    <t>I- NỘI NGHIỆP:</t>
  </si>
  <si>
    <t>Phụ Lục 1: ĐƠN GIÁ TIỀN CÔNG LAO ĐỘNG</t>
  </si>
  <si>
    <t xml:space="preserve"> Phụ Lục 4: CHI PHÍ VẬT LIỆU</t>
  </si>
  <si>
    <t xml:space="preserve"> Phụ Lục 5: CHI PHÍ KHẤU HAO PHẦN MỀM</t>
  </si>
  <si>
    <t xml:space="preserve"> Phụ Lục 6: CHI PHÍ LAO ĐỘNG XÂY DỰNG CSDL ĐỊA CHÍNH
(Xây dựng CSDL địa chính đối với trường hợp đã thực hiện đăng ký, cấp giấy chứng nhận)</t>
  </si>
  <si>
    <t xml:space="preserve"> Phụ Lục 7: CHI PHÍ KHẤU HAO MÁY VÀ THIẾT BỊ XÂY DỰNG CSDL ĐỊA CHÍNH</t>
  </si>
  <si>
    <t xml:space="preserve"> Phụ Lục 8: CHI PHÍ CÔNG CỤ, DỤNG CỤ XÂY DỰNG CSDL ĐỊA CHÍNH</t>
  </si>
  <si>
    <t xml:space="preserve">  Phụ Lục 9: CHI PHÍ VẬT LIỆU XÂY DỰNG CSDL ĐỊA CHÍNH</t>
  </si>
  <si>
    <t xml:space="preserve"> Phụ Lục 11: CHI PHÍ KHẤU HAO MÁY VÀ THIẾT BỊ XÂY DỰNG CƠ SỞ DỮ LIỆU KHÔNG GIAN ĐẤT ĐAI NỀN</t>
  </si>
  <si>
    <t xml:space="preserve"> Phụ Lục 13: CHI PHÍ VẬT LIỆU XÂY DỰNG CƠ SỞ DỮ LIỆU KHÔNG GIAN ĐẤT ĐAI NỀN</t>
  </si>
  <si>
    <t xml:space="preserve"> Phụ Lục 14: CHI PHÍ LAO ĐỘNG QUÉT GIẤY TỜ PHÁP LÝ VÀ XỬ LÝ TẬP TIN
</t>
  </si>
  <si>
    <t xml:space="preserve"> Phụ Lục 15: CHI PHÍ KHẤU HAO MÁY VÀ THIẾT BỊ  QUÉT GIẤY TỜ PHÁP LÝ VÀ XỬ LÝ TẬP TIN</t>
  </si>
  <si>
    <t xml:space="preserve">  Phụ Lục 16: CHI PHÍ CÔNG CỤ, DỤNG CỤ  QUÉT GIẤY TỜ PHÁP LÝ VÀ XỬ LÝ TẬP TIN</t>
  </si>
  <si>
    <t xml:space="preserve">  Phụ Lục 17: CHI PHÍ VẬT LIỆU  QUÉT GIẤY TỜ PHÁP LÝ VÀ XỬ LÝ TẬP TIN</t>
  </si>
  <si>
    <t>ĐVT: Đồng</t>
  </si>
  <si>
    <t>ĐVT: đồng</t>
  </si>
  <si>
    <r>
      <t xml:space="preserve">Định mức </t>
    </r>
    <r>
      <rPr>
        <sz val="12"/>
        <rFont val="Times New Roman"/>
        <family val="1"/>
        <charset val="163"/>
      </rPr>
      <t>(ca/thửa)</t>
    </r>
  </si>
  <si>
    <t xml:space="preserve"> Phụ Lục 10: CHI PHÍ LAO ĐỘNG XÂY DỰNG CSDL KHÔNG GIAN ĐẤT ĐAI NỀN
(Xây dựng CSDL địa chính đối với trường hợp đã thực hiện đăng ký, cấp giấy chứng nhận)
</t>
  </si>
  <si>
    <t xml:space="preserve"> Phụ Lục 12: CHI PHÍ CÔNG CỤ, DỤNG CỤ XD CSDL KHÔNG GIAN ĐẤT ĐAI NỀN</t>
  </si>
  <si>
    <t xml:space="preserve">Đơn giá sản phẩm </t>
  </si>
  <si>
    <t>Phụ Lục 2: CHI PHÍ KHẤU HAO MÁY VÀ THIẾT BỊ</t>
  </si>
  <si>
    <t>Phụ Lục 3: CHI PHÍ CÔNG CỤ, DỤNG CỤ</t>
  </si>
  <si>
    <t>0.1/5 người</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</si>
</sst>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3" formatCode="_(* #,##0.00_);_(* \(#,##0.00\);_(* &quot;-&quot;??_);_(@_)"/>
    <numFmt numFmtId="164" formatCode="_-* #,##0.00\ _₫_-;\-* #,##0.00\ _₫_-;_-* &quot;-&quot;??\ _₫_-;_-@_-"/>
    <numFmt numFmtId="165" formatCode="_(* #,##0.0_);_(* \(#,##0.0\);_(* &quot;-&quot;??_);_(@_)"/>
    <numFmt numFmtId="166" formatCode="_(* #,##0_);_(* \(#,##0\);_(* &quot;-&quot;??_);_(@_)"/>
    <numFmt numFmtId="167" formatCode="0.0000"/>
    <numFmt numFmtId="168" formatCode="&quot;\&quot;#,##0;[Red]&quot;\&quot;\-#,##0"/>
    <numFmt numFmtId="169" formatCode="&quot;\&quot;#,##0.00;[Red]&quot;\&quot;\-#,##0.00"/>
    <numFmt numFmtId="170" formatCode="\$#,##0\ ;\(\$#,##0\)"/>
    <numFmt numFmtId="171" formatCode="&quot;\&quot;#,##0;[Red]&quot;\&quot;&quot;\&quot;\-#,##0"/>
    <numFmt numFmtId="172" formatCode="&quot;\&quot;#,##0.00;[Red]&quot;\&quot;&quot;\&quot;&quot;\&quot;&quot;\&quot;&quot;\&quot;&quot;\&quot;\-#,##0.00"/>
    <numFmt numFmtId="173" formatCode="#,##0.0"/>
    <numFmt numFmtId="174" formatCode="#,##0.0000"/>
    <numFmt numFmtId="175" formatCode="#,##0.000"/>
    <numFmt numFmtId="176" formatCode="\(#\ &quot;giờ&quot;\)"/>
    <numFmt numFmtId="177" formatCode="_-* #,##0.00\ _€_-;\-* #,##0.00\ _€_-;_-* &quot;-&quot;??\ _€_-;_-@_-"/>
    <numFmt numFmtId="178" formatCode="_ &quot;\&quot;* #,##0.00_ ;_ &quot;\&quot;* &quot;\&quot;&quot;\&quot;&quot;\&quot;&quot;\&quot;&quot;\&quot;&quot;\&quot;&quot;\&quot;&quot;\&quot;&quot;\&quot;\-#,##0.00_ ;_ &quot;\&quot;* &quot;-&quot;??_ ;_ @_ "/>
    <numFmt numFmtId="179" formatCode="#,##0\ &quot;$&quot;_);[Red]\(#,##0\ &quot;$&quot;\)"/>
    <numFmt numFmtId="180" formatCode="&quot;$&quot;###,0&quot;.&quot;00_);[Red]\(&quot;$&quot;###,0&quot;.&quot;00\)"/>
    <numFmt numFmtId="181" formatCode="_-* #,##0_-;\-* #,##0_-;_-* &quot;-&quot;_-;_-@_-"/>
    <numFmt numFmtId="182" formatCode="_-&quot;$&quot;* #,##0_-;\-&quot;$&quot;* #,##0_-;_-&quot;$&quot;* &quot;-&quot;_-;_-@_-"/>
    <numFmt numFmtId="183" formatCode="_-&quot;$&quot;* #,##0.00_-;\-&quot;$&quot;* #,##0.00_-;_-&quot;$&quot;* &quot;-&quot;??_-;_-@_-"/>
    <numFmt numFmtId="184" formatCode="_(* #,##0.0000_);_(* \(#,##0.0000\);_(* &quot;-&quot;??_);_(@_)"/>
    <numFmt numFmtId="185" formatCode="_(* #,##0.00000_);_(* \(#,##0.00000\);_(* &quot;-&quot;??_);_(@_)"/>
    <numFmt numFmtId="186" formatCode="_(* #,##0.0_);_(* \(#,##0.0\);_(* &quot;-&quot;????_);_(@_)"/>
    <numFmt numFmtId="187" formatCode="_-* #,##0.00_-;\-* #,##0.00_-;_-* &quot;-&quot;??_-;_-@_-"/>
    <numFmt numFmtId="188" formatCode=";;"/>
    <numFmt numFmtId="189" formatCode="0&quot;.&quot;000_)"/>
    <numFmt numFmtId="190" formatCode="&quot;$&quot;\ \ \ \ #,##0_);\(&quot;$&quot;\ \ \ #,##0\)"/>
    <numFmt numFmtId="191" formatCode="&quot;$&quot;\ \ \ \ \ #,##0_);\(&quot;$&quot;\ \ \ \ \ #,##0\)"/>
    <numFmt numFmtId="192" formatCode="0##,###.00"/>
    <numFmt numFmtId="193" formatCode="#,##0.00\ &quot;F&quot;;[Red]\-#,##0.00\ &quot;F&quot;"/>
    <numFmt numFmtId="194" formatCode="_-* ###,0&quot;.&quot;00\ _F_B_-;\-* ###,0&quot;.&quot;00\ _F_B_-;_-* &quot;-&quot;??\ _F_B_-;_-@_-"/>
    <numFmt numFmtId="195" formatCode="_-* #,##0\ &quot;F&quot;_-;\-* #,##0\ &quot;F&quot;_-;_-* &quot;-&quot;\ &quot;F&quot;_-;_-@_-"/>
    <numFmt numFmtId="196" formatCode="#,##0\ &quot;F&quot;;[Red]\-#,##0\ &quot;F&quot;"/>
    <numFmt numFmtId="197" formatCode="#,##0.00\ &quot;F&quot;;\-#,##0.00\ &quot;F&quot;"/>
    <numFmt numFmtId="198" formatCode="_ * #,##0.00_)\ _ _Đ_ồ_n_g_ ;_ * \(#,##0.00\)\ _ _Đ_ồ_n_g_ ;_ * &quot;-&quot;??_)\ _ _Đ_ồ_n_g_ ;_ @_ "/>
    <numFmt numFmtId="199" formatCode="_-* #,##0\ _₫_-;\-* #,##0\ _₫_-;_-* &quot;-&quot;??\ _₫_-;_-@_-"/>
    <numFmt numFmtId="200" formatCode="_-* #,##0\ _€_-;\-* #,##0\ _€_-;_-* &quot;-&quot;??\ _€_-;_-@_-"/>
    <numFmt numFmtId="201" formatCode="0.000"/>
    <numFmt numFmtId="202" formatCode="0.0"/>
    <numFmt numFmtId="203" formatCode="0.000000"/>
    <numFmt numFmtId="204" formatCode="0.00000"/>
    <numFmt numFmtId="205" formatCode="_(* #,##0_);_(* \(#,##0\);_(* &quot;-&quot;?_);_(@_)"/>
    <numFmt numFmtId="206" formatCode="_-* #,##0.0000\ _₫_-;\-* #,##0.0000\ _₫_-;_-* &quot;-&quot;????\ _₫_-;_-@_-"/>
    <numFmt numFmtId="207" formatCode="_(* #,##0.000000_);_(* \(#,##0.000000\);_(* &quot;-&quot;??_);_(@_)"/>
    <numFmt numFmtId="208" formatCode="_(* #,##0.0000_);_(* \(#,##0.0000\);_(* &quot;-&quot;????_);_(@_)"/>
    <numFmt numFmtId="209" formatCode="0.0%"/>
    <numFmt numFmtId="210" formatCode="_(* #,##0.00000_);_(* \(#,##0.00000\);_(* &quot;-&quot;????_);_(@_)"/>
    <numFmt numFmtId="211" formatCode="0.00000000"/>
    <numFmt numFmtId="212" formatCode="#,##0.0_);\(#,##0.0\)"/>
    <numFmt numFmtId="213" formatCode="_(* #,##0.00000_);_(* \(#,##0.00000\);_(* &quot;-&quot;?????_);_(@_)"/>
  </numFmts>
  <fonts count="206">
    <font>
      <sz val="12"/>
      <name val=".VnTime"/>
    </font>
    <font>
      <sz val="12"/>
      <name val=".VnTime"/>
      <family val="2"/>
    </font>
    <font>
      <sz val="11"/>
      <name val=".VnTime"/>
      <family val="2"/>
    </font>
    <font>
      <sz val="10"/>
      <name val=".VnTime"/>
      <family val="2"/>
    </font>
    <font>
      <sz val="8"/>
      <name val=".VnTime"/>
      <family val="2"/>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4"/>
      <name val="Times New Roman"/>
      <family val="1"/>
    </font>
    <font>
      <sz val="14"/>
      <name val="Times New Roman"/>
      <family val="1"/>
    </font>
    <font>
      <sz val="11"/>
      <color indexed="8"/>
      <name val="Arial"/>
      <family val="2"/>
      <charset val="163"/>
    </font>
    <font>
      <sz val="11"/>
      <color indexed="9"/>
      <name val="Arial"/>
      <family val="2"/>
      <charset val="163"/>
    </font>
    <font>
      <sz val="11"/>
      <color indexed="20"/>
      <name val="Arial"/>
      <family val="2"/>
      <charset val="163"/>
    </font>
    <font>
      <b/>
      <sz val="11"/>
      <color indexed="52"/>
      <name val="Arial"/>
      <family val="2"/>
      <charset val="163"/>
    </font>
    <font>
      <b/>
      <sz val="11"/>
      <color indexed="9"/>
      <name val="Arial"/>
      <family val="2"/>
      <charset val="163"/>
    </font>
    <font>
      <i/>
      <sz val="11"/>
      <color indexed="23"/>
      <name val="Arial"/>
      <family val="2"/>
      <charset val="163"/>
    </font>
    <font>
      <sz val="11"/>
      <color indexed="17"/>
      <name val="Arial"/>
      <family val="2"/>
      <charset val="163"/>
    </font>
    <font>
      <b/>
      <sz val="11"/>
      <color indexed="56"/>
      <name val="Arial"/>
      <family val="2"/>
      <charset val="163"/>
    </font>
    <font>
      <sz val="11"/>
      <color indexed="62"/>
      <name val="Arial"/>
      <family val="2"/>
      <charset val="163"/>
    </font>
    <font>
      <sz val="11"/>
      <color indexed="52"/>
      <name val="Arial"/>
      <family val="2"/>
      <charset val="163"/>
    </font>
    <font>
      <sz val="11"/>
      <color indexed="60"/>
      <name val="Arial"/>
      <family val="2"/>
      <charset val="163"/>
    </font>
    <font>
      <b/>
      <sz val="11"/>
      <color indexed="63"/>
      <name val="Arial"/>
      <family val="2"/>
      <charset val="163"/>
    </font>
    <font>
      <b/>
      <sz val="18"/>
      <color indexed="56"/>
      <name val="Times New Roman"/>
      <family val="2"/>
      <charset val="163"/>
    </font>
    <font>
      <sz val="11"/>
      <color indexed="10"/>
      <name val="Arial"/>
      <family val="2"/>
      <charset val="163"/>
    </font>
    <font>
      <sz val="12"/>
      <name val="Times New Roman"/>
      <family val="1"/>
    </font>
    <font>
      <b/>
      <u/>
      <sz val="12"/>
      <name val="Times New Roman"/>
      <family val="1"/>
    </font>
    <font>
      <b/>
      <sz val="12"/>
      <name val="Times New Roman"/>
      <family val="1"/>
    </font>
    <font>
      <b/>
      <i/>
      <u/>
      <sz val="12"/>
      <name val="Times New Roman"/>
      <family val="1"/>
    </font>
    <font>
      <i/>
      <sz val="12"/>
      <name val="Times New Roman"/>
      <family val="1"/>
    </font>
    <font>
      <b/>
      <sz val="12"/>
      <color indexed="12"/>
      <name val="Times New Roman"/>
      <family val="1"/>
    </font>
    <font>
      <sz val="12"/>
      <name val=".VnTime"/>
      <family val="2"/>
    </font>
    <font>
      <b/>
      <i/>
      <sz val="12"/>
      <name val="Times New Roman"/>
      <family val="1"/>
    </font>
    <font>
      <b/>
      <sz val="12"/>
      <name val=".VnTime"/>
      <family val="2"/>
    </font>
    <font>
      <sz val="12"/>
      <name val=".VnTime"/>
      <family val="2"/>
    </font>
    <font>
      <sz val="12"/>
      <name val=".VnTime"/>
      <family val="2"/>
    </font>
    <font>
      <b/>
      <i/>
      <sz val="12"/>
      <name val=".VnTime"/>
      <family val="2"/>
    </font>
    <font>
      <b/>
      <sz val="10"/>
      <name val=".VnTime"/>
      <family val="2"/>
    </font>
    <font>
      <sz val="14"/>
      <name val="??"/>
      <family val="3"/>
      <charset val="129"/>
    </font>
    <font>
      <sz val="11"/>
      <color indexed="8"/>
      <name val="Calibri"/>
      <family val="2"/>
    </font>
    <font>
      <sz val="12"/>
      <color indexed="8"/>
      <name val="Times New Roman"/>
      <family val="2"/>
    </font>
    <font>
      <sz val="11"/>
      <color indexed="9"/>
      <name val="Calibri"/>
      <family val="2"/>
    </font>
    <font>
      <sz val="12"/>
      <color indexed="9"/>
      <name val="Times New Roman"/>
      <family val="2"/>
    </font>
    <font>
      <sz val="11"/>
      <color indexed="20"/>
      <name val="Calibri"/>
      <family val="2"/>
    </font>
    <font>
      <b/>
      <sz val="11"/>
      <color indexed="52"/>
      <name val="Calibri"/>
      <family val="2"/>
    </font>
    <font>
      <b/>
      <sz val="11"/>
      <color indexed="9"/>
      <name val="Calibri"/>
      <family val="2"/>
    </font>
    <font>
      <sz val="10"/>
      <name val="Arial"/>
      <family val="2"/>
      <charset val="163"/>
    </font>
    <font>
      <sz val="11"/>
      <color indexed="8"/>
      <name val="Calibri"/>
      <family val="2"/>
      <charset val="163"/>
    </font>
    <font>
      <sz val="12"/>
      <name val="VNI-Times"/>
    </font>
    <font>
      <b/>
      <sz val="12"/>
      <color indexed="63"/>
      <name val="Times New Roman"/>
      <family val="2"/>
    </font>
    <font>
      <sz val="12"/>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i/>
      <sz val="11"/>
      <color indexed="23"/>
      <name val="Calibri"/>
      <family val="2"/>
    </font>
    <font>
      <sz val="11"/>
      <color indexed="17"/>
      <name val="Calibri"/>
      <family val="2"/>
    </font>
    <font>
      <b/>
      <sz val="11"/>
      <color indexed="56"/>
      <name val="Calibri"/>
      <family val="2"/>
    </font>
    <font>
      <sz val="11"/>
      <color indexed="62"/>
      <name val="Calibri"/>
      <family val="2"/>
    </font>
    <font>
      <b/>
      <sz val="12"/>
      <color indexed="9"/>
      <name val="Times New Roman"/>
      <family val="2"/>
    </font>
    <font>
      <sz val="11"/>
      <color indexed="52"/>
      <name val="Calibri"/>
      <family val="2"/>
    </font>
    <font>
      <sz val="10"/>
      <name val="MS Sans Serif"/>
      <family val="2"/>
    </font>
    <font>
      <sz val="12"/>
      <name val="Arial"/>
      <family val="2"/>
    </font>
    <font>
      <sz val="11"/>
      <color indexed="60"/>
      <name val="Calibri"/>
      <family val="2"/>
    </font>
    <font>
      <sz val="12"/>
      <name val=".VnTime"/>
      <family val="2"/>
    </font>
    <font>
      <sz val="12"/>
      <color indexed="52"/>
      <name val="Times New Roman"/>
      <family val="2"/>
    </font>
    <font>
      <b/>
      <sz val="11"/>
      <color indexed="63"/>
      <name val="Calibri"/>
      <family val="2"/>
    </font>
    <font>
      <b/>
      <sz val="18"/>
      <color indexed="56"/>
      <name val="Cambria"/>
      <family val="2"/>
    </font>
    <font>
      <b/>
      <sz val="12"/>
      <color indexed="52"/>
      <name val="Times New Roman"/>
      <family val="2"/>
    </font>
    <font>
      <b/>
      <sz val="12"/>
      <color indexed="8"/>
      <name val="Times New Roman"/>
      <family val="2"/>
    </font>
    <font>
      <sz val="12"/>
      <color indexed="17"/>
      <name val="Times New Roman"/>
      <family val="2"/>
    </font>
    <font>
      <sz val="12"/>
      <color indexed="60"/>
      <name val="Times New Roman"/>
      <family val="2"/>
    </font>
    <font>
      <sz val="12"/>
      <color indexed="10"/>
      <name val="Times New Roman"/>
      <family val="2"/>
    </font>
    <font>
      <i/>
      <sz val="12"/>
      <color indexed="23"/>
      <name val="Times New Roman"/>
      <family val="2"/>
    </font>
    <font>
      <sz val="9"/>
      <name val=".VnTime"/>
      <family val="2"/>
    </font>
    <font>
      <sz val="11"/>
      <color indexed="10"/>
      <name val="Calibri"/>
      <family val="2"/>
    </font>
    <font>
      <sz val="12"/>
      <color indexed="20"/>
      <name val="Times New Roman"/>
      <family val="2"/>
    </font>
    <font>
      <sz val="10"/>
      <name val=" "/>
      <family val="1"/>
      <charset val="136"/>
    </font>
    <font>
      <sz val="12"/>
      <name val="바탕체"/>
      <family val="3"/>
    </font>
    <font>
      <sz val="12"/>
      <name val="Courier"/>
      <family val="3"/>
    </font>
    <font>
      <sz val="11"/>
      <name val="Times New Roman"/>
      <family val="1"/>
    </font>
    <font>
      <sz val="12"/>
      <color indexed="12"/>
      <name val="Times New Roman"/>
      <family val="1"/>
    </font>
    <font>
      <b/>
      <sz val="12"/>
      <color indexed="12"/>
      <name val="Times New Roman"/>
      <family val="1"/>
    </font>
    <font>
      <b/>
      <i/>
      <sz val="12"/>
      <color indexed="12"/>
      <name val="Times New Roman"/>
      <family val="1"/>
    </font>
    <font>
      <sz val="12"/>
      <color indexed="12"/>
      <name val="Times New Roman"/>
      <family val="1"/>
    </font>
    <font>
      <b/>
      <sz val="12"/>
      <color indexed="12"/>
      <name val="Times New Roman"/>
      <family val="1"/>
    </font>
    <font>
      <b/>
      <i/>
      <sz val="12"/>
      <color indexed="12"/>
      <name val="Times New Roman"/>
      <family val="1"/>
    </font>
    <font>
      <sz val="12"/>
      <color indexed="12"/>
      <name val=".VnTime"/>
      <family val="2"/>
    </font>
    <font>
      <sz val="8"/>
      <name val=".VnTime"/>
      <family val="2"/>
    </font>
    <font>
      <b/>
      <sz val="11"/>
      <name val="Times New Roman"/>
      <family val="1"/>
    </font>
    <font>
      <i/>
      <sz val="11"/>
      <name val="Times New Roman"/>
      <family val="1"/>
    </font>
    <font>
      <sz val="12"/>
      <name val=".VnTime"/>
      <family val="2"/>
    </font>
    <font>
      <i/>
      <sz val="12"/>
      <name val=".VnTime"/>
      <family val="2"/>
    </font>
    <font>
      <i/>
      <sz val="12"/>
      <color rgb="FFFF0000"/>
      <name val="Times New Roman"/>
      <family val="1"/>
    </font>
    <font>
      <sz val="11"/>
      <color rgb="FFFF0000"/>
      <name val="Times New Roman"/>
      <family val="1"/>
    </font>
    <font>
      <sz val="12"/>
      <color rgb="FFFF0000"/>
      <name val="Times New Roman"/>
      <family val="1"/>
    </font>
    <font>
      <sz val="12"/>
      <color theme="1"/>
      <name val="Times New Roman"/>
      <family val="2"/>
      <charset val="163"/>
    </font>
    <font>
      <sz val="14"/>
      <color theme="1"/>
      <name val="Times New Roman"/>
      <family val="2"/>
      <charset val="163"/>
    </font>
    <font>
      <sz val="13"/>
      <color theme="1"/>
      <name val="Times New Roman"/>
      <family val="1"/>
    </font>
    <font>
      <sz val="13"/>
      <color rgb="FFFF0000"/>
      <name val="Times New Roman"/>
      <family val="1"/>
    </font>
    <font>
      <b/>
      <sz val="13"/>
      <name val="Times New Roman"/>
      <family val="1"/>
    </font>
    <font>
      <sz val="13"/>
      <name val="Times New Roman"/>
      <family val="1"/>
    </font>
    <font>
      <sz val="12"/>
      <color rgb="FF000000"/>
      <name val="Times New Roman"/>
      <family val="1"/>
    </font>
    <font>
      <sz val="11"/>
      <color rgb="FF000000"/>
      <name val="Times New Roman"/>
      <family val="1"/>
    </font>
    <font>
      <sz val="10"/>
      <name val="Arial"/>
      <family val="2"/>
    </font>
    <font>
      <sz val="12"/>
      <color indexed="10"/>
      <name val="Times New Roman"/>
      <family val="1"/>
    </font>
    <font>
      <sz val="12"/>
      <name val="Times New Roman"/>
      <family val="1"/>
      <charset val="163"/>
    </font>
    <font>
      <b/>
      <sz val="11"/>
      <color indexed="10"/>
      <name val="Times New Roman"/>
      <family val="1"/>
      <charset val="163"/>
    </font>
    <font>
      <b/>
      <sz val="11"/>
      <name val="Times New Roman"/>
      <family val="1"/>
      <charset val="163"/>
    </font>
    <font>
      <b/>
      <sz val="12"/>
      <name val="Times New Roman"/>
      <family val="1"/>
      <charset val="163"/>
    </font>
    <font>
      <b/>
      <sz val="10"/>
      <name val="Times New Roman"/>
      <family val="1"/>
      <charset val="163"/>
    </font>
    <font>
      <b/>
      <i/>
      <sz val="11"/>
      <name val="Times New Roman"/>
      <family val="1"/>
    </font>
    <font>
      <sz val="10"/>
      <name val="?? ??"/>
      <family val="1"/>
      <charset val="136"/>
    </font>
    <font>
      <sz val="9"/>
      <name val="Arial"/>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8"/>
      <name val="Times New Roman"/>
      <family val="1"/>
    </font>
    <font>
      <sz val="12"/>
      <name val="Tms Rmn"/>
    </font>
    <font>
      <sz val="11"/>
      <name val="Tms Rmn"/>
    </font>
    <font>
      <sz val="10"/>
      <name val="MS Serif"/>
      <family val="1"/>
    </font>
    <font>
      <sz val="10"/>
      <color indexed="16"/>
      <name val="MS Serif"/>
      <family val="1"/>
    </font>
    <font>
      <sz val="8"/>
      <name val="Arial"/>
      <family val="2"/>
    </font>
    <font>
      <b/>
      <sz val="12"/>
      <color indexed="9"/>
      <name val="Tms Rmn"/>
    </font>
    <font>
      <b/>
      <sz val="8"/>
      <name val="MS Sans Serif"/>
      <family val="2"/>
    </font>
    <font>
      <b/>
      <sz val="14"/>
      <name val=".VnTimeH"/>
      <family val="2"/>
    </font>
    <font>
      <sz val="12"/>
      <name val="VNtimes new roman"/>
      <family val="2"/>
    </font>
    <font>
      <sz val="12"/>
      <name val="VNtimes new roman"/>
      <family val="2"/>
    </font>
    <font>
      <sz val="10"/>
      <name val=".VnArial"/>
      <family val="2"/>
    </font>
    <font>
      <sz val="10"/>
      <name val=".VnArial"/>
      <family val="2"/>
    </font>
    <font>
      <sz val="13"/>
      <name val=".VnTime"/>
      <family val="2"/>
    </font>
    <font>
      <sz val="8"/>
      <name val="Wingdings"/>
      <charset val="2"/>
    </font>
    <font>
      <sz val="8"/>
      <name val="Helv"/>
    </font>
    <font>
      <sz val="8"/>
      <name val="MS Sans Serif"/>
      <family val="2"/>
    </font>
    <font>
      <sz val="10"/>
      <name val="Helv"/>
      <family val="2"/>
    </font>
    <font>
      <b/>
      <sz val="8"/>
      <color indexed="8"/>
      <name val="Helv"/>
    </font>
    <font>
      <sz val="14"/>
      <name val=".VnTime"/>
      <family val="2"/>
    </font>
    <font>
      <sz val="14"/>
      <name val=".VnArial"/>
      <family val="2"/>
    </font>
    <font>
      <sz val="12"/>
      <color rgb="FF00B0F0"/>
      <name val=".VnTime"/>
      <family val="2"/>
    </font>
    <font>
      <b/>
      <sz val="12"/>
      <color rgb="FF00B0F0"/>
      <name val="Times New Roman"/>
      <family val="1"/>
    </font>
    <font>
      <sz val="11"/>
      <color indexed="62"/>
      <name val="Times New Roman"/>
      <family val="1"/>
    </font>
    <font>
      <sz val="12"/>
      <color indexed="62"/>
      <name val="Times New Roman"/>
      <family val="1"/>
    </font>
    <font>
      <sz val="12"/>
      <name val="Cambria"/>
      <family val="1"/>
      <charset val="163"/>
    </font>
    <font>
      <sz val="11"/>
      <color indexed="10"/>
      <name val="Times New Roman"/>
      <family val="1"/>
    </font>
    <font>
      <i/>
      <u/>
      <sz val="12"/>
      <name val="Times New Roman"/>
      <family val="1"/>
    </font>
    <font>
      <b/>
      <sz val="12"/>
      <name val=".VnTime"/>
      <family val="2"/>
    </font>
    <font>
      <sz val="12"/>
      <name val="Cambria"/>
      <family val="1"/>
    </font>
    <font>
      <sz val="12"/>
      <color indexed="8"/>
      <name val="Times New Roman"/>
      <family val="1"/>
    </font>
    <font>
      <sz val="12"/>
      <color indexed="10"/>
      <name val="Arial"/>
      <family val="2"/>
    </font>
    <font>
      <b/>
      <sz val="12"/>
      <color indexed="10"/>
      <name val="Times New Roman"/>
      <family val="1"/>
    </font>
    <font>
      <sz val="12"/>
      <color indexed="10"/>
      <name val="Cambria"/>
      <family val="1"/>
      <charset val="163"/>
    </font>
    <font>
      <b/>
      <sz val="10"/>
      <color indexed="8"/>
      <name val=".VnTimeH"/>
      <family val="2"/>
    </font>
    <font>
      <b/>
      <sz val="10"/>
      <color indexed="8"/>
      <name val="Arial"/>
      <family val="2"/>
    </font>
    <font>
      <b/>
      <sz val="12"/>
      <color indexed="8"/>
      <name val="Times New Roman"/>
      <family val="1"/>
    </font>
    <font>
      <sz val="10"/>
      <color indexed="8"/>
      <name val="Arial"/>
      <family val="2"/>
    </font>
    <font>
      <i/>
      <sz val="12"/>
      <color indexed="8"/>
      <name val="Times New Roman"/>
      <family val="1"/>
    </font>
    <font>
      <b/>
      <sz val="11"/>
      <color indexed="8"/>
      <name val="Times New Roman"/>
      <family val="1"/>
    </font>
    <font>
      <b/>
      <sz val="10"/>
      <color indexed="8"/>
      <name val="Times New Roman"/>
      <family val="1"/>
    </font>
    <font>
      <b/>
      <i/>
      <sz val="9"/>
      <color indexed="8"/>
      <name val="Times New Roman"/>
      <family val="1"/>
    </font>
    <font>
      <sz val="10"/>
      <name val="Times New Roman"/>
      <family val="1"/>
    </font>
    <font>
      <b/>
      <sz val="10"/>
      <color indexed="18"/>
      <name val="Times New Roman"/>
      <family val="1"/>
    </font>
    <font>
      <b/>
      <sz val="10"/>
      <color indexed="18"/>
      <name val="Arial"/>
      <family val="2"/>
    </font>
    <font>
      <b/>
      <sz val="11"/>
      <name val="Arial"/>
      <family val="2"/>
    </font>
    <font>
      <sz val="10"/>
      <name val="Tahoma"/>
      <family val="2"/>
    </font>
    <font>
      <sz val="10"/>
      <color indexed="8"/>
      <name val="Times New Roman"/>
      <family val="1"/>
    </font>
    <font>
      <sz val="10"/>
      <color indexed="18"/>
      <name val="Times New Roman"/>
      <family val="1"/>
    </font>
    <font>
      <sz val="10"/>
      <color indexed="18"/>
      <name val="Arial"/>
      <family val="2"/>
    </font>
    <font>
      <sz val="11"/>
      <name val="Arial"/>
      <family val="2"/>
    </font>
    <font>
      <sz val="11"/>
      <name val="Arial"/>
      <family val="2"/>
    </font>
    <font>
      <sz val="12"/>
      <name val="VnTimes"/>
    </font>
    <font>
      <sz val="12"/>
      <color indexed="8"/>
      <name val="VnTimes"/>
    </font>
    <font>
      <i/>
      <sz val="13"/>
      <color indexed="8"/>
      <name val="Times New Roman"/>
      <family val="1"/>
    </font>
    <font>
      <b/>
      <sz val="10"/>
      <name val="Times New Roman"/>
      <family val="1"/>
    </font>
    <font>
      <b/>
      <sz val="11"/>
      <color indexed="10"/>
      <name val="Times New Roman"/>
      <family val="1"/>
    </font>
    <font>
      <b/>
      <sz val="12"/>
      <color indexed="12"/>
      <name val=".VnTime"/>
      <family val="2"/>
    </font>
    <font>
      <b/>
      <sz val="12"/>
      <color rgb="FFFF0000"/>
      <name val="Times New Roman"/>
      <family val="1"/>
    </font>
    <font>
      <sz val="11"/>
      <name val="Times New Roman"/>
      <family val="1"/>
      <charset val="163"/>
    </font>
    <font>
      <sz val="12"/>
      <color theme="0"/>
      <name val="Times New Roman"/>
      <family val="1"/>
    </font>
    <font>
      <sz val="9"/>
      <color indexed="81"/>
      <name val="Tahoma"/>
      <family val="2"/>
    </font>
    <font>
      <b/>
      <sz val="9"/>
      <color indexed="81"/>
      <name val="Tahoma"/>
      <family val="2"/>
    </font>
    <font>
      <sz val="9"/>
      <color indexed="81"/>
      <name val="Tahoma"/>
      <family val="2"/>
      <charset val="163"/>
    </font>
    <font>
      <b/>
      <sz val="9"/>
      <color indexed="81"/>
      <name val="Tahoma"/>
      <family val="2"/>
      <charset val="163"/>
    </font>
    <font>
      <b/>
      <sz val="13"/>
      <color theme="1"/>
      <name val="Times New Roman"/>
      <family val="1"/>
    </font>
    <font>
      <sz val="12"/>
      <color theme="1"/>
      <name val="Times New Roman"/>
      <family val="1"/>
    </font>
    <font>
      <sz val="12"/>
      <color theme="1"/>
      <name val=".VnTime"/>
      <family val="2"/>
    </font>
    <font>
      <b/>
      <sz val="12"/>
      <color theme="1"/>
      <name val="Times New Roman"/>
      <family val="1"/>
    </font>
    <font>
      <sz val="12"/>
      <color theme="1"/>
      <name val="Times New Roman"/>
      <family val="1"/>
      <charset val="163"/>
    </font>
    <font>
      <b/>
      <sz val="12"/>
      <color theme="1"/>
      <name val="Times New Roman"/>
      <family val="1"/>
      <charset val="163"/>
    </font>
    <font>
      <i/>
      <sz val="12"/>
      <color theme="1"/>
      <name val="Times New Roman"/>
      <family val="1"/>
    </font>
    <font>
      <b/>
      <i/>
      <sz val="12"/>
      <color theme="1"/>
      <name val="Times New Roman"/>
      <family val="1"/>
    </font>
    <font>
      <sz val="12"/>
      <color rgb="FFFF0000"/>
      <name val="Times New Roman"/>
      <family val="1"/>
      <charset val="163"/>
    </font>
    <font>
      <sz val="12"/>
      <name val="Cambria"/>
      <family val="1"/>
      <charset val="163"/>
      <scheme val="major"/>
    </font>
    <font>
      <b/>
      <i/>
      <sz val="12"/>
      <name val="Cambria"/>
      <family val="1"/>
      <charset val="163"/>
      <scheme val="major"/>
    </font>
    <font>
      <b/>
      <sz val="12"/>
      <name val="Cambria"/>
      <family val="1"/>
      <charset val="163"/>
      <scheme val="major"/>
    </font>
    <font>
      <sz val="14"/>
      <name val="Cambria"/>
      <family val="1"/>
      <charset val="163"/>
      <scheme val="major"/>
    </font>
    <font>
      <sz val="13"/>
      <name val="Times New Roman"/>
      <family val="1"/>
      <charset val="163"/>
    </font>
    <font>
      <b/>
      <sz val="13"/>
      <name val="Times New Roman"/>
      <family val="1"/>
      <charset val="163"/>
    </font>
    <font>
      <i/>
      <sz val="12"/>
      <color theme="1"/>
      <name val="Times New Roman"/>
      <family val="1"/>
      <charset val="163"/>
    </font>
    <font>
      <sz val="10"/>
      <name val="Times New Roman"/>
      <family val="1"/>
      <charset val="163"/>
    </font>
    <font>
      <b/>
      <u/>
      <sz val="12"/>
      <color rgb="FFFF0000"/>
      <name val="Times New Roman"/>
      <family val="1"/>
    </font>
    <font>
      <i/>
      <sz val="12"/>
      <name val="Times New Roman"/>
      <family val="1"/>
      <charset val="163"/>
    </font>
    <font>
      <sz val="12"/>
      <color rgb="FFFF0000"/>
      <name val=".VnTime"/>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gray125">
        <fgColor indexed="3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darkVertical"/>
    </fill>
    <fill>
      <patternFill patternType="solid">
        <fgColor indexed="10"/>
        <bgColor indexed="64"/>
      </patternFill>
    </fill>
    <fill>
      <patternFill patternType="solid">
        <fgColor indexed="31"/>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right style="thin">
        <color indexed="64"/>
      </right>
      <top style="thin">
        <color indexed="64"/>
      </top>
      <bottom style="dashed">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s>
  <cellStyleXfs count="456">
    <xf numFmtId="0" fontId="0" fillId="0" borderId="0"/>
    <xf numFmtId="172" fontId="5" fillId="0" borderId="0" applyFont="0" applyFill="0" applyBorder="0" applyAlignment="0" applyProtection="0"/>
    <xf numFmtId="171" fontId="5"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0" fontId="14" fillId="2" borderId="0" applyNumberFormat="0" applyBorder="0" applyAlignment="0" applyProtection="0"/>
    <xf numFmtId="0" fontId="42" fillId="2" borderId="0" applyNumberFormat="0" applyBorder="0" applyAlignment="0" applyProtection="0"/>
    <xf numFmtId="0" fontId="14" fillId="3" borderId="0" applyNumberFormat="0" applyBorder="0" applyAlignment="0" applyProtection="0"/>
    <xf numFmtId="0" fontId="42" fillId="3" borderId="0" applyNumberFormat="0" applyBorder="0" applyAlignment="0" applyProtection="0"/>
    <xf numFmtId="0" fontId="14" fillId="4" borderId="0" applyNumberFormat="0" applyBorder="0" applyAlignment="0" applyProtection="0"/>
    <xf numFmtId="0" fontId="42" fillId="4" borderId="0" applyNumberFormat="0" applyBorder="0" applyAlignment="0" applyProtection="0"/>
    <xf numFmtId="0" fontId="14" fillId="5" borderId="0" applyNumberFormat="0" applyBorder="0" applyAlignment="0" applyProtection="0"/>
    <xf numFmtId="0" fontId="42" fillId="5" borderId="0" applyNumberFormat="0" applyBorder="0" applyAlignment="0" applyProtection="0"/>
    <xf numFmtId="0" fontId="14" fillId="6" borderId="0" applyNumberFormat="0" applyBorder="0" applyAlignment="0" applyProtection="0"/>
    <xf numFmtId="0" fontId="42" fillId="6" borderId="0" applyNumberFormat="0" applyBorder="0" applyAlignment="0" applyProtection="0"/>
    <xf numFmtId="0" fontId="14" fillId="7" borderId="0" applyNumberFormat="0" applyBorder="0" applyAlignment="0" applyProtection="0"/>
    <xf numFmtId="0" fontId="42" fillId="7"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14" fillId="8" borderId="0" applyNumberFormat="0" applyBorder="0" applyAlignment="0" applyProtection="0"/>
    <xf numFmtId="0" fontId="42" fillId="8" borderId="0" applyNumberFormat="0" applyBorder="0" applyAlignment="0" applyProtection="0"/>
    <xf numFmtId="0" fontId="14" fillId="9" borderId="0" applyNumberFormat="0" applyBorder="0" applyAlignment="0" applyProtection="0"/>
    <xf numFmtId="0" fontId="42" fillId="9" borderId="0" applyNumberFormat="0" applyBorder="0" applyAlignment="0" applyProtection="0"/>
    <xf numFmtId="0" fontId="14" fillId="10" borderId="0" applyNumberFormat="0" applyBorder="0" applyAlignment="0" applyProtection="0"/>
    <xf numFmtId="0" fontId="42" fillId="10" borderId="0" applyNumberFormat="0" applyBorder="0" applyAlignment="0" applyProtection="0"/>
    <xf numFmtId="0" fontId="14" fillId="5" borderId="0" applyNumberFormat="0" applyBorder="0" applyAlignment="0" applyProtection="0"/>
    <xf numFmtId="0" fontId="42" fillId="5" borderId="0" applyNumberFormat="0" applyBorder="0" applyAlignment="0" applyProtection="0"/>
    <xf numFmtId="0" fontId="14" fillId="8" borderId="0" applyNumberFormat="0" applyBorder="0" applyAlignment="0" applyProtection="0"/>
    <xf numFmtId="0" fontId="42" fillId="8" borderId="0" applyNumberFormat="0" applyBorder="0" applyAlignment="0" applyProtection="0"/>
    <xf numFmtId="0" fontId="14" fillId="11" borderId="0" applyNumberFormat="0" applyBorder="0" applyAlignment="0" applyProtection="0"/>
    <xf numFmtId="0" fontId="42" fillId="11"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15" fillId="12" borderId="0" applyNumberFormat="0" applyBorder="0" applyAlignment="0" applyProtection="0"/>
    <xf numFmtId="0" fontId="44" fillId="12" borderId="0" applyNumberFormat="0" applyBorder="0" applyAlignment="0" applyProtection="0"/>
    <xf numFmtId="0" fontId="15" fillId="9" borderId="0" applyNumberFormat="0" applyBorder="0" applyAlignment="0" applyProtection="0"/>
    <xf numFmtId="0" fontId="44" fillId="9" borderId="0" applyNumberFormat="0" applyBorder="0" applyAlignment="0" applyProtection="0"/>
    <xf numFmtId="0" fontId="15" fillId="10" borderId="0" applyNumberFormat="0" applyBorder="0" applyAlignment="0" applyProtection="0"/>
    <xf numFmtId="0" fontId="44" fillId="10" borderId="0" applyNumberFormat="0" applyBorder="0" applyAlignment="0" applyProtection="0"/>
    <xf numFmtId="0" fontId="15" fillId="13" borderId="0" applyNumberFormat="0" applyBorder="0" applyAlignment="0" applyProtection="0"/>
    <xf numFmtId="0" fontId="44" fillId="13" borderId="0" applyNumberFormat="0" applyBorder="0" applyAlignment="0" applyProtection="0"/>
    <xf numFmtId="0" fontId="15" fillId="14" borderId="0" applyNumberFormat="0" applyBorder="0" applyAlignment="0" applyProtection="0"/>
    <xf numFmtId="0" fontId="44" fillId="14" borderId="0" applyNumberFormat="0" applyBorder="0" applyAlignment="0" applyProtection="0"/>
    <xf numFmtId="0" fontId="15" fillId="15" borderId="0" applyNumberFormat="0" applyBorder="0" applyAlignment="0" applyProtection="0"/>
    <xf numFmtId="0" fontId="44" fillId="15"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15" fillId="16" borderId="0" applyNumberFormat="0" applyBorder="0" applyAlignment="0" applyProtection="0"/>
    <xf numFmtId="0" fontId="44" fillId="16" borderId="0" applyNumberFormat="0" applyBorder="0" applyAlignment="0" applyProtection="0"/>
    <xf numFmtId="0" fontId="15" fillId="17" borderId="0" applyNumberFormat="0" applyBorder="0" applyAlignment="0" applyProtection="0"/>
    <xf numFmtId="0" fontId="44" fillId="17" borderId="0" applyNumberFormat="0" applyBorder="0" applyAlignment="0" applyProtection="0"/>
    <xf numFmtId="0" fontId="15" fillId="18" borderId="0" applyNumberFormat="0" applyBorder="0" applyAlignment="0" applyProtection="0"/>
    <xf numFmtId="0" fontId="44" fillId="18" borderId="0" applyNumberFormat="0" applyBorder="0" applyAlignment="0" applyProtection="0"/>
    <xf numFmtId="0" fontId="15" fillId="13" borderId="0" applyNumberFormat="0" applyBorder="0" applyAlignment="0" applyProtection="0"/>
    <xf numFmtId="0" fontId="44" fillId="13" borderId="0" applyNumberFormat="0" applyBorder="0" applyAlignment="0" applyProtection="0"/>
    <xf numFmtId="0" fontId="15" fillId="14" borderId="0" applyNumberFormat="0" applyBorder="0" applyAlignment="0" applyProtection="0"/>
    <xf numFmtId="0" fontId="44" fillId="14" borderId="0" applyNumberFormat="0" applyBorder="0" applyAlignment="0" applyProtection="0"/>
    <xf numFmtId="0" fontId="15" fillId="19" borderId="0" applyNumberFormat="0" applyBorder="0" applyAlignment="0" applyProtection="0"/>
    <xf numFmtId="0" fontId="44" fillId="19" borderId="0" applyNumberFormat="0" applyBorder="0" applyAlignment="0" applyProtection="0"/>
    <xf numFmtId="0" fontId="16" fillId="3" borderId="0" applyNumberFormat="0" applyBorder="0" applyAlignment="0" applyProtection="0"/>
    <xf numFmtId="0" fontId="46" fillId="3" borderId="0" applyNumberFormat="0" applyBorder="0" applyAlignment="0" applyProtection="0"/>
    <xf numFmtId="0" fontId="17" fillId="20" borderId="1" applyNumberFormat="0" applyAlignment="0" applyProtection="0"/>
    <xf numFmtId="0" fontId="47" fillId="20" borderId="1" applyNumberFormat="0" applyAlignment="0" applyProtection="0"/>
    <xf numFmtId="0" fontId="18" fillId="21" borderId="2" applyNumberFormat="0" applyAlignment="0" applyProtection="0"/>
    <xf numFmtId="0" fontId="48" fillId="21" borderId="2" applyNumberFormat="0" applyAlignment="0" applyProtection="0"/>
    <xf numFmtId="43" fontId="1" fillId="0" borderId="0" applyFont="0" applyFill="0" applyBorder="0" applyAlignment="0" applyProtection="0"/>
    <xf numFmtId="43" fontId="93"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164" fontId="49" fillId="0" borderId="0" applyFont="0" applyFill="0" applyBorder="0" applyAlignment="0" applyProtection="0"/>
    <xf numFmtId="177" fontId="49" fillId="0" borderId="0" applyFont="0" applyFill="0" applyBorder="0" applyAlignment="0" applyProtection="0"/>
    <xf numFmtId="43" fontId="49" fillId="0" borderId="0" applyFont="0" applyFill="0" applyBorder="0" applyAlignment="0" applyProtection="0"/>
    <xf numFmtId="164" fontId="50"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alignment vertical="center"/>
    </xf>
    <xf numFmtId="164" fontId="4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2" fillId="0" borderId="0" applyFont="0" applyFill="0" applyBorder="0" applyAlignment="0" applyProtection="0"/>
    <xf numFmtId="43" fontId="49" fillId="0" borderId="0" applyFont="0" applyFill="0" applyBorder="0" applyAlignment="0" applyProtection="0"/>
    <xf numFmtId="177"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42" fillId="0" borderId="0" applyFont="0" applyFill="0" applyBorder="0" applyAlignment="0" applyProtection="0"/>
    <xf numFmtId="43" fontId="49" fillId="0" borderId="0" applyFont="0" applyFill="0" applyBorder="0" applyAlignment="0" applyProtection="0"/>
    <xf numFmtId="164" fontId="50" fillId="0" borderId="0" applyFont="0" applyFill="0" applyBorder="0" applyAlignment="0" applyProtection="0"/>
    <xf numFmtId="3"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51" fillId="0" borderId="0" applyFont="0" applyFill="0" applyBorder="0" applyAlignment="0" applyProtection="0"/>
    <xf numFmtId="0" fontId="5" fillId="0" borderId="0" applyFont="0" applyFill="0" applyBorder="0" applyAlignment="0" applyProtection="0"/>
    <xf numFmtId="0" fontId="52" fillId="20" borderId="3" applyNumberFormat="0" applyAlignment="0" applyProtection="0"/>
    <xf numFmtId="0" fontId="53" fillId="7" borderId="1" applyNumberFormat="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2" fontId="5" fillId="0" borderId="0" applyFont="0" applyFill="0" applyBorder="0" applyAlignment="0" applyProtection="0"/>
    <xf numFmtId="0" fontId="34" fillId="22" borderId="7" applyNumberFormat="0" applyFont="0" applyAlignment="0" applyProtection="0"/>
    <xf numFmtId="0" fontId="20" fillId="4" borderId="0" applyNumberFormat="0" applyBorder="0" applyAlignment="0" applyProtection="0"/>
    <xf numFmtId="0" fontId="58" fillId="4" borderId="0" applyNumberFormat="0" applyBorder="0" applyAlignment="0" applyProtection="0"/>
    <xf numFmtId="0" fontId="7" fillId="0" borderId="8" applyNumberFormat="0" applyAlignment="0" applyProtection="0">
      <alignment horizontal="left" vertical="center"/>
    </xf>
    <xf numFmtId="0" fontId="7" fillId="0" borderId="9">
      <alignment horizontal="left" vertical="center"/>
    </xf>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0" fontId="59" fillId="0" borderId="6" applyNumberFormat="0" applyFill="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22" fillId="7" borderId="1" applyNumberFormat="0" applyAlignment="0" applyProtection="0"/>
    <xf numFmtId="0" fontId="60" fillId="7" borderId="1" applyNumberFormat="0" applyAlignment="0" applyProtection="0"/>
    <xf numFmtId="0" fontId="61" fillId="21" borderId="2" applyNumberFormat="0" applyAlignment="0" applyProtection="0"/>
    <xf numFmtId="0" fontId="49" fillId="0" borderId="0"/>
    <xf numFmtId="0" fontId="49" fillId="0" borderId="0"/>
    <xf numFmtId="0" fontId="49" fillId="0" borderId="0"/>
    <xf numFmtId="0" fontId="23" fillId="0" borderId="10" applyNumberFormat="0" applyFill="0" applyAlignment="0" applyProtection="0"/>
    <xf numFmtId="0" fontId="62" fillId="0" borderId="10" applyNumberFormat="0" applyFill="0" applyAlignment="0" applyProtection="0"/>
    <xf numFmtId="38" fontId="63" fillId="0" borderId="0" applyFont="0" applyFill="0" applyBorder="0" applyAlignment="0" applyProtection="0"/>
    <xf numFmtId="40" fontId="63" fillId="0" borderId="0" applyFont="0" applyFill="0" applyBorder="0" applyAlignment="0" applyProtection="0"/>
    <xf numFmtId="179" fontId="63" fillId="0" borderId="0" applyFont="0" applyFill="0" applyBorder="0" applyAlignment="0" applyProtection="0"/>
    <xf numFmtId="180" fontId="63" fillId="0" borderId="0" applyFont="0" applyFill="0" applyBorder="0" applyAlignment="0" applyProtection="0"/>
    <xf numFmtId="0" fontId="64" fillId="0" borderId="0" applyNumberFormat="0" applyFont="0" applyFill="0" applyAlignment="0"/>
    <xf numFmtId="0" fontId="24" fillId="23" borderId="0" applyNumberFormat="0" applyBorder="0" applyAlignment="0" applyProtection="0"/>
    <xf numFmtId="0" fontId="65" fillId="23"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50" fillId="0" borderId="0"/>
    <xf numFmtId="0" fontId="49" fillId="0" borderId="0"/>
    <xf numFmtId="0" fontId="5" fillId="0" borderId="0">
      <alignment vertical="center"/>
    </xf>
    <xf numFmtId="0" fontId="66" fillId="0" borderId="0"/>
    <xf numFmtId="0" fontId="49" fillId="0" borderId="0"/>
    <xf numFmtId="0" fontId="42" fillId="0" borderId="0"/>
    <xf numFmtId="0" fontId="34" fillId="0" borderId="0"/>
    <xf numFmtId="0" fontId="34" fillId="0" borderId="0"/>
    <xf numFmtId="0" fontId="49" fillId="0" borderId="0"/>
    <xf numFmtId="0" fontId="34" fillId="0" borderId="0"/>
    <xf numFmtId="0" fontId="49" fillId="0" borderId="0"/>
    <xf numFmtId="0" fontId="49" fillId="0" borderId="0"/>
    <xf numFmtId="0" fontId="42" fillId="0" borderId="0"/>
    <xf numFmtId="0" fontId="50" fillId="0" borderId="0"/>
    <xf numFmtId="0" fontId="3" fillId="22" borderId="7" applyNumberFormat="0" applyFont="0" applyAlignment="0" applyProtection="0"/>
    <xf numFmtId="0" fontId="5" fillId="22" borderId="7" applyNumberFormat="0" applyFont="0" applyAlignment="0" applyProtection="0"/>
    <xf numFmtId="0" fontId="67" fillId="0" borderId="10" applyNumberFormat="0" applyFill="0" applyAlignment="0" applyProtection="0"/>
    <xf numFmtId="0" fontId="25" fillId="20" borderId="3" applyNumberFormat="0" applyAlignment="0" applyProtection="0"/>
    <xf numFmtId="0" fontId="68" fillId="20" borderId="3" applyNumberFormat="0" applyAlignment="0" applyProtection="0"/>
    <xf numFmtId="9" fontId="1"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alignment vertical="center"/>
    </xf>
    <xf numFmtId="0" fontId="2" fillId="0" borderId="11">
      <alignment horizontal="center"/>
      <protection locked="0"/>
    </xf>
    <xf numFmtId="0" fontId="69" fillId="0" borderId="0" applyNumberFormat="0" applyFill="0" applyBorder="0" applyAlignment="0" applyProtection="0"/>
    <xf numFmtId="0" fontId="70" fillId="20" borderId="1" applyNumberFormat="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71" fillId="0" borderId="12" applyNumberFormat="0" applyFill="0" applyAlignment="0" applyProtection="0"/>
    <xf numFmtId="0" fontId="72" fillId="4" borderId="0" applyNumberFormat="0" applyBorder="0" applyAlignment="0" applyProtection="0"/>
    <xf numFmtId="0" fontId="5" fillId="0" borderId="13" applyNumberFormat="0" applyFont="0" applyFill="0" applyAlignment="0" applyProtection="0"/>
    <xf numFmtId="0" fontId="5" fillId="0" borderId="13" applyNumberFormat="0" applyFont="0" applyFill="0" applyAlignment="0" applyProtection="0"/>
    <xf numFmtId="0" fontId="73" fillId="23"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36" fillId="24" borderId="14">
      <alignment horizontal="left" vertical="center"/>
    </xf>
    <xf numFmtId="5" fontId="40" fillId="0" borderId="15">
      <alignment horizontal="left" vertical="top"/>
    </xf>
    <xf numFmtId="5" fontId="3" fillId="0" borderId="16">
      <alignment horizontal="left" vertical="top"/>
    </xf>
    <xf numFmtId="0" fontId="76" fillId="0" borderId="16">
      <alignment horizontal="left" vertical="center"/>
    </xf>
    <xf numFmtId="0" fontId="27" fillId="0" borderId="0" applyNumberFormat="0" applyFill="0" applyBorder="0" applyAlignment="0" applyProtection="0"/>
    <xf numFmtId="0" fontId="77" fillId="0" borderId="0" applyNumberFormat="0" applyFill="0" applyBorder="0" applyAlignment="0" applyProtection="0"/>
    <xf numFmtId="0" fontId="78" fillId="3" borderId="0" applyNumberFormat="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28" fillId="0" borderId="0">
      <alignment vertical="center"/>
    </xf>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80" fillId="0" borderId="0" applyFont="0" applyFill="0" applyBorder="0" applyAlignment="0" applyProtection="0"/>
    <xf numFmtId="0" fontId="9" fillId="0" borderId="0"/>
    <xf numFmtId="171" fontId="5" fillId="0" borderId="0" applyFont="0" applyFill="0" applyBorder="0" applyAlignment="0" applyProtection="0"/>
    <xf numFmtId="172" fontId="5" fillId="0" borderId="0" applyFont="0" applyFill="0" applyBorder="0" applyAlignment="0" applyProtection="0"/>
    <xf numFmtId="169" fontId="10" fillId="0" borderId="0" applyFont="0" applyFill="0" applyBorder="0" applyAlignment="0" applyProtection="0"/>
    <xf numFmtId="168" fontId="10" fillId="0" borderId="0" applyFont="0" applyFill="0" applyBorder="0" applyAlignment="0" applyProtection="0"/>
    <xf numFmtId="0" fontId="11" fillId="0" borderId="0"/>
    <xf numFmtId="179" fontId="81" fillId="0" borderId="0" applyFont="0" applyFill="0" applyBorder="0" applyAlignment="0" applyProtection="0"/>
    <xf numFmtId="0" fontId="98" fillId="0" borderId="0"/>
    <xf numFmtId="0" fontId="106" fillId="0" borderId="0"/>
    <xf numFmtId="43" fontId="106"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xf numFmtId="0" fontId="114" fillId="0" borderId="0" applyFont="0" applyFill="0" applyBorder="0" applyAlignment="0" applyProtection="0"/>
    <xf numFmtId="181" fontId="115" fillId="0" borderId="0" applyFont="0" applyFill="0" applyBorder="0" applyAlignment="0" applyProtection="0"/>
    <xf numFmtId="187" fontId="115" fillId="0" borderId="0" applyFont="0" applyFill="0" applyBorder="0" applyAlignment="0" applyProtection="0"/>
    <xf numFmtId="6" fontId="81" fillId="0" borderId="0" applyFont="0" applyFill="0" applyBorder="0" applyAlignment="0" applyProtection="0"/>
    <xf numFmtId="0" fontId="28" fillId="0" borderId="0">
      <alignment vertical="center"/>
    </xf>
    <xf numFmtId="0" fontId="116" fillId="25" borderId="0"/>
    <xf numFmtId="0" fontId="117" fillId="25"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118" fillId="25" borderId="0"/>
    <xf numFmtId="0" fontId="119" fillId="0" borderId="0">
      <alignment wrapText="1"/>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3" fillId="0" borderId="0"/>
    <xf numFmtId="0" fontId="3" fillId="0" borderId="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120" fillId="0" borderId="0" applyFont="0" applyFill="0" applyBorder="0" applyAlignment="0" applyProtection="0"/>
    <xf numFmtId="0" fontId="120" fillId="0" borderId="0" applyFont="0" applyFill="0" applyBorder="0" applyAlignment="0" applyProtection="0"/>
    <xf numFmtId="0" fontId="121" fillId="0" borderId="0">
      <alignment horizontal="center" wrapText="1"/>
      <protection locked="0"/>
    </xf>
    <xf numFmtId="0" fontId="121" fillId="0" borderId="0">
      <alignment horizontal="center" wrapText="1"/>
      <protection locked="0"/>
    </xf>
    <xf numFmtId="0" fontId="120" fillId="0" borderId="0" applyFont="0" applyFill="0" applyBorder="0" applyAlignment="0" applyProtection="0"/>
    <xf numFmtId="0" fontId="120" fillId="0" borderId="0" applyFont="0" applyFill="0" applyBorder="0" applyAlignment="0" applyProtection="0"/>
    <xf numFmtId="0" fontId="46" fillId="3" borderId="0" applyNumberFormat="0" applyBorder="0" applyAlignment="0" applyProtection="0"/>
    <xf numFmtId="0" fontId="5" fillId="0" borderId="0"/>
    <xf numFmtId="0" fontId="5" fillId="0" borderId="0"/>
    <xf numFmtId="0" fontId="42" fillId="0" borderId="0"/>
    <xf numFmtId="0" fontId="5" fillId="0" borderId="0"/>
    <xf numFmtId="0" fontId="122" fillId="0" borderId="0" applyNumberFormat="0" applyFill="0" applyBorder="0" applyAlignment="0" applyProtection="0"/>
    <xf numFmtId="0" fontId="120" fillId="0" borderId="0"/>
    <xf numFmtId="0" fontId="120" fillId="0" borderId="0"/>
    <xf numFmtId="188" fontId="63" fillId="0" borderId="0" applyFill="0" applyBorder="0" applyAlignment="0"/>
    <xf numFmtId="188" fontId="63" fillId="0" borderId="0" applyFill="0" applyBorder="0" applyAlignment="0"/>
    <xf numFmtId="0" fontId="47" fillId="20" borderId="1" applyNumberFormat="0" applyAlignment="0" applyProtection="0"/>
    <xf numFmtId="0" fontId="48" fillId="21" borderId="2" applyNumberFormat="0" applyAlignment="0" applyProtection="0"/>
    <xf numFmtId="189" fontId="123" fillId="0" borderId="0"/>
    <xf numFmtId="189" fontId="123" fillId="0" borderId="0"/>
    <xf numFmtId="189" fontId="123" fillId="0" borderId="0"/>
    <xf numFmtId="189" fontId="123" fillId="0" borderId="0"/>
    <xf numFmtId="189" fontId="123" fillId="0" borderId="0"/>
    <xf numFmtId="189" fontId="123" fillId="0" borderId="0"/>
    <xf numFmtId="189" fontId="123" fillId="0" borderId="0"/>
    <xf numFmtId="189" fontId="123" fillId="0" borderId="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43" fontId="5" fillId="0" borderId="0" applyFont="0" applyFill="0" applyBorder="0" applyAlignment="0" applyProtection="0"/>
    <xf numFmtId="0" fontId="124" fillId="0" borderId="0" applyNumberFormat="0" applyAlignment="0">
      <alignment horizontal="left"/>
    </xf>
    <xf numFmtId="0" fontId="124" fillId="0" borderId="0" applyNumberFormat="0" applyAlignment="0">
      <alignment horizontal="left"/>
    </xf>
    <xf numFmtId="190" fontId="63" fillId="0" borderId="0" applyFont="0" applyFill="0" applyBorder="0" applyAlignment="0" applyProtection="0"/>
    <xf numFmtId="191" fontId="63" fillId="0" borderId="0" applyFont="0" applyFill="0" applyBorder="0" applyAlignment="0" applyProtection="0"/>
    <xf numFmtId="0" fontId="125" fillId="0" borderId="0" applyNumberFormat="0" applyAlignment="0">
      <alignment horizontal="left"/>
    </xf>
    <xf numFmtId="0" fontId="125" fillId="0" borderId="0" applyNumberFormat="0" applyAlignment="0">
      <alignment horizontal="left"/>
    </xf>
    <xf numFmtId="0" fontId="57" fillId="0" borderId="0" applyNumberFormat="0" applyFill="0" applyBorder="0" applyAlignment="0" applyProtection="0"/>
    <xf numFmtId="0" fontId="58" fillId="4" borderId="0" applyNumberFormat="0" applyBorder="0" applyAlignment="0" applyProtection="0"/>
    <xf numFmtId="38" fontId="126" fillId="25" borderId="0" applyNumberFormat="0" applyBorder="0" applyAlignment="0" applyProtection="0"/>
    <xf numFmtId="0" fontId="127" fillId="31" borderId="0"/>
    <xf numFmtId="0" fontId="59" fillId="0" borderId="6" applyNumberFormat="0" applyFill="0" applyAlignment="0" applyProtection="0"/>
    <xf numFmtId="0" fontId="59" fillId="0" borderId="0" applyNumberFormat="0" applyFill="0" applyBorder="0" applyAlignment="0" applyProtection="0"/>
    <xf numFmtId="0" fontId="128" fillId="0" borderId="70">
      <alignment horizontal="center"/>
    </xf>
    <xf numFmtId="0" fontId="128" fillId="0" borderId="70">
      <alignment horizontal="center"/>
    </xf>
    <xf numFmtId="0" fontId="128" fillId="0" borderId="0">
      <alignment horizontal="center"/>
    </xf>
    <xf numFmtId="0" fontId="128" fillId="0" borderId="0">
      <alignment horizontal="center"/>
    </xf>
    <xf numFmtId="49" fontId="129" fillId="0" borderId="14">
      <alignment vertical="center"/>
    </xf>
    <xf numFmtId="10" fontId="126" fillId="32" borderId="14" applyNumberFormat="0" applyBorder="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60" fillId="7" borderId="1" applyNumberFormat="0" applyAlignment="0" applyProtection="0"/>
    <xf numFmtId="0" fontId="3" fillId="0" borderId="0"/>
    <xf numFmtId="0" fontId="3" fillId="0" borderId="0"/>
    <xf numFmtId="0" fontId="3" fillId="0" borderId="0"/>
    <xf numFmtId="0" fontId="3" fillId="0" borderId="0"/>
    <xf numFmtId="0" fontId="5" fillId="0" borderId="0"/>
    <xf numFmtId="0" fontId="62" fillId="0" borderId="10" applyNumberFormat="0" applyFill="0" applyAlignment="0" applyProtection="0"/>
    <xf numFmtId="0" fontId="65" fillId="23" borderId="0" applyNumberFormat="0" applyBorder="0" applyAlignment="0" applyProtection="0"/>
    <xf numFmtId="192" fontId="130" fillId="0" borderId="0"/>
    <xf numFmtId="192" fontId="1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2" fillId="0" borderId="0"/>
    <xf numFmtId="0" fontId="133" fillId="0" borderId="0"/>
    <xf numFmtId="0" fontId="42"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5"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132" fillId="0" borderId="0"/>
    <xf numFmtId="0" fontId="1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28" fillId="0" borderId="0"/>
    <xf numFmtId="0" fontId="34" fillId="0" borderId="0"/>
    <xf numFmtId="0" fontId="34" fillId="0" borderId="0"/>
    <xf numFmtId="0" fontId="34" fillId="0" borderId="0"/>
    <xf numFmtId="0" fontId="34" fillId="0" borderId="0"/>
    <xf numFmtId="0" fontId="5" fillId="22" borderId="7" applyNumberFormat="0" applyFont="0" applyAlignment="0" applyProtection="0"/>
    <xf numFmtId="0" fontId="5" fillId="22" borderId="7" applyNumberFormat="0" applyFont="0" applyAlignment="0" applyProtection="0"/>
    <xf numFmtId="0" fontId="5" fillId="22" borderId="7" applyNumberFormat="0" applyFont="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8" fillId="20" borderId="3" applyNumberFormat="0" applyAlignment="0" applyProtection="0"/>
    <xf numFmtId="14" fontId="121" fillId="0" borderId="0">
      <alignment horizontal="center" wrapText="1"/>
      <protection locked="0"/>
    </xf>
    <xf numFmtId="14" fontId="121" fillId="0" borderId="0">
      <alignment horizontal="center" wrapText="1"/>
      <protection locked="0"/>
    </xf>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35" fillId="33" borderId="0" applyNumberFormat="0" applyFont="0" applyBorder="0" applyAlignment="0">
      <alignment horizontal="center"/>
    </xf>
    <xf numFmtId="0" fontId="135" fillId="33" borderId="0" applyNumberFormat="0" applyFont="0" applyBorder="0" applyAlignment="0">
      <alignment horizontal="center"/>
    </xf>
    <xf numFmtId="14" fontId="136" fillId="0" borderId="0" applyNumberFormat="0" applyFill="0" applyBorder="0" applyAlignment="0" applyProtection="0">
      <alignment horizontal="left"/>
    </xf>
    <xf numFmtId="0" fontId="34" fillId="0" borderId="0" applyNumberFormat="0" applyFill="0" applyBorder="0" applyAlignment="0" applyProtection="0"/>
    <xf numFmtId="0" fontId="34" fillId="0" borderId="0" applyNumberFormat="0" applyFill="0" applyBorder="0" applyAlignment="0" applyProtection="0"/>
    <xf numFmtId="0" fontId="135" fillId="1" borderId="9" applyNumberFormat="0" applyFont="0" applyAlignment="0">
      <alignment horizontal="center"/>
    </xf>
    <xf numFmtId="0" fontId="135" fillId="1" borderId="9" applyNumberFormat="0" applyFont="0" applyAlignment="0">
      <alignment horizontal="center"/>
    </xf>
    <xf numFmtId="0" fontId="137" fillId="0" borderId="0" applyNumberFormat="0" applyFill="0" applyBorder="0" applyAlignment="0">
      <alignment horizontal="center"/>
    </xf>
    <xf numFmtId="0" fontId="137" fillId="0" borderId="0" applyNumberFormat="0" applyFill="0" applyBorder="0" applyAlignment="0">
      <alignment horizontal="center"/>
    </xf>
    <xf numFmtId="0" fontId="5" fillId="0" borderId="0"/>
    <xf numFmtId="0" fontId="138" fillId="0" borderId="0"/>
    <xf numFmtId="40" fontId="139" fillId="0" borderId="0" applyBorder="0">
      <alignment horizontal="right"/>
    </xf>
    <xf numFmtId="193" fontId="134" fillId="0" borderId="60">
      <alignment horizontal="right" vertical="center"/>
    </xf>
    <xf numFmtId="193" fontId="134" fillId="0" borderId="60">
      <alignment horizontal="right" vertical="center"/>
    </xf>
    <xf numFmtId="194" fontId="140" fillId="0" borderId="60">
      <alignment horizontal="right" vertical="center"/>
    </xf>
    <xf numFmtId="194" fontId="140" fillId="0" borderId="60">
      <alignment horizontal="right" vertical="center"/>
    </xf>
    <xf numFmtId="195" fontId="134" fillId="0" borderId="60">
      <alignment horizontal="center"/>
    </xf>
    <xf numFmtId="195" fontId="134" fillId="0" borderId="60">
      <alignment horizontal="center"/>
    </xf>
    <xf numFmtId="0" fontId="134" fillId="0" borderId="0" applyNumberFormat="0" applyFill="0" applyBorder="0" applyAlignment="0" applyProtection="0"/>
    <xf numFmtId="0" fontId="134" fillId="0" borderId="0" applyNumberFormat="0" applyFill="0" applyBorder="0" applyAlignment="0" applyProtection="0"/>
    <xf numFmtId="0" fontId="69" fillId="0" borderId="0" applyNumberFormat="0" applyFill="0" applyBorder="0" applyAlignment="0" applyProtection="0"/>
    <xf numFmtId="196" fontId="134" fillId="0" borderId="0"/>
    <xf numFmtId="196" fontId="134" fillId="0" borderId="0"/>
    <xf numFmtId="197" fontId="134" fillId="0" borderId="14"/>
    <xf numFmtId="197" fontId="134" fillId="0" borderId="14"/>
    <xf numFmtId="5" fontId="3" fillId="0" borderId="16">
      <alignment horizontal="left" vertical="top"/>
    </xf>
    <xf numFmtId="5" fontId="3" fillId="0" borderId="16">
      <alignment horizontal="left" vertical="top"/>
    </xf>
    <xf numFmtId="5" fontId="3" fillId="0" borderId="16">
      <alignment horizontal="left" vertical="top"/>
    </xf>
    <xf numFmtId="0" fontId="77" fillId="0" borderId="0" applyNumberFormat="0" applyFill="0" applyBorder="0" applyAlignment="0" applyProtection="0"/>
    <xf numFmtId="0" fontId="141" fillId="0" borderId="0" applyNumberFormat="0" applyFill="0" applyBorder="0" applyAlignment="0" applyProtection="0"/>
    <xf numFmtId="0" fontId="64" fillId="0" borderId="0"/>
    <xf numFmtId="181" fontId="115" fillId="0" borderId="0" applyFont="0" applyFill="0" applyBorder="0" applyAlignment="0" applyProtection="0"/>
    <xf numFmtId="187" fontId="115" fillId="0" borderId="0" applyFont="0" applyFill="0" applyBorder="0" applyAlignment="0" applyProtection="0"/>
    <xf numFmtId="182" fontId="115" fillId="0" borderId="0" applyFont="0" applyFill="0" applyBorder="0" applyAlignment="0" applyProtection="0"/>
    <xf numFmtId="183" fontId="11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xf numFmtId="0" fontId="5" fillId="0" borderId="0"/>
    <xf numFmtId="43" fontId="34" fillId="0" borderId="0" applyFont="0" applyFill="0" applyBorder="0" applyAlignment="0" applyProtection="0"/>
    <xf numFmtId="0" fontId="5" fillId="0" borderId="0"/>
    <xf numFmtId="43" fontId="49" fillId="0" borderId="0" applyFont="0" applyFill="0" applyBorder="0" applyAlignment="0" applyProtection="0"/>
    <xf numFmtId="0" fontId="5" fillId="0" borderId="0"/>
    <xf numFmtId="0" fontId="13" fillId="0" borderId="0"/>
    <xf numFmtId="0" fontId="5" fillId="0" borderId="0"/>
    <xf numFmtId="184"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0" fontId="28" fillId="0" borderId="0"/>
    <xf numFmtId="0" fontId="42" fillId="0" borderId="0"/>
    <xf numFmtId="0" fontId="42" fillId="0" borderId="0"/>
    <xf numFmtId="0" fontId="42" fillId="0" borderId="0"/>
    <xf numFmtId="0" fontId="42" fillId="0" borderId="0"/>
    <xf numFmtId="0" fontId="5" fillId="22" borderId="7" applyNumberFormat="0" applyFont="0" applyAlignment="0" applyProtection="0"/>
    <xf numFmtId="0" fontId="135" fillId="1" borderId="9" applyNumberFormat="0" applyFont="0" applyAlignment="0">
      <alignment horizontal="center"/>
    </xf>
    <xf numFmtId="193" fontId="134" fillId="0" borderId="60">
      <alignment horizontal="right" vertical="center"/>
    </xf>
    <xf numFmtId="194" fontId="140" fillId="0" borderId="60">
      <alignment horizontal="right" vertical="center"/>
    </xf>
    <xf numFmtId="194" fontId="140" fillId="0" borderId="60">
      <alignment horizontal="right" vertical="center"/>
    </xf>
    <xf numFmtId="195" fontId="134" fillId="0" borderId="60">
      <alignment horizontal="center"/>
    </xf>
    <xf numFmtId="5" fontId="3" fillId="0" borderId="16">
      <alignment horizontal="left" vertical="top"/>
    </xf>
    <xf numFmtId="0" fontId="106" fillId="0" borderId="0"/>
    <xf numFmtId="43" fontId="163" fillId="0" borderId="0" applyFont="0" applyFill="0" applyBorder="0" applyAlignment="0" applyProtection="0"/>
    <xf numFmtId="0" fontId="163" fillId="0" borderId="0"/>
  </cellStyleXfs>
  <cellXfs count="2042">
    <xf numFmtId="0" fontId="0" fillId="0" borderId="0" xfId="0"/>
    <xf numFmtId="0" fontId="13" fillId="0" borderId="0" xfId="0" applyFont="1"/>
    <xf numFmtId="0" fontId="31" fillId="0" borderId="0" xfId="0" applyFont="1" applyAlignment="1">
      <alignment horizontal="left"/>
    </xf>
    <xf numFmtId="0" fontId="28" fillId="0" borderId="0" xfId="0" applyFont="1" applyAlignment="1">
      <alignment horizontal="center"/>
    </xf>
    <xf numFmtId="0" fontId="28" fillId="0" borderId="0" xfId="0" applyFont="1"/>
    <xf numFmtId="0" fontId="28" fillId="0" borderId="0" xfId="0" applyFont="1" applyAlignment="1">
      <alignment vertical="center"/>
    </xf>
    <xf numFmtId="0" fontId="30" fillId="0" borderId="0" xfId="0" applyFont="1" applyAlignment="1">
      <alignment vertical="center" wrapText="1"/>
    </xf>
    <xf numFmtId="0" fontId="28" fillId="0" borderId="23" xfId="0" applyFont="1" applyFill="1" applyBorder="1" applyAlignment="1">
      <alignment horizontal="justify" vertical="center" wrapText="1"/>
    </xf>
    <xf numFmtId="0" fontId="28" fillId="0" borderId="2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3" xfId="0" applyFont="1" applyFill="1" applyBorder="1" applyAlignment="1">
      <alignment horizontal="justify" vertical="center" wrapText="1"/>
    </xf>
    <xf numFmtId="0" fontId="33" fillId="0" borderId="0" xfId="0" applyFont="1" applyAlignment="1">
      <alignment vertical="center" wrapText="1"/>
    </xf>
    <xf numFmtId="0" fontId="34" fillId="0" borderId="0" xfId="0" applyFont="1" applyAlignment="1">
      <alignment vertical="center"/>
    </xf>
    <xf numFmtId="0" fontId="36" fillId="0" borderId="0" xfId="0" applyFont="1" applyAlignment="1">
      <alignment horizontal="center" vertical="center" wrapText="1"/>
    </xf>
    <xf numFmtId="0" fontId="30" fillId="0" borderId="22"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30" fillId="0" borderId="0" xfId="0" applyFont="1" applyAlignment="1">
      <alignment vertical="center"/>
    </xf>
    <xf numFmtId="0" fontId="28" fillId="0" borderId="23" xfId="0" applyFont="1" applyBorder="1" applyAlignment="1">
      <alignment horizontal="center" vertical="center" wrapText="1"/>
    </xf>
    <xf numFmtId="3" fontId="28" fillId="0" borderId="23" xfId="77" applyNumberFormat="1" applyFont="1" applyBorder="1" applyAlignment="1">
      <alignment horizontal="right" vertical="center"/>
    </xf>
    <xf numFmtId="0" fontId="37" fillId="0" borderId="0" xfId="0" applyFont="1" applyAlignment="1">
      <alignment vertical="center"/>
    </xf>
    <xf numFmtId="0" fontId="35" fillId="0" borderId="23" xfId="0" applyFont="1" applyFill="1" applyBorder="1" applyAlignment="1">
      <alignment horizontal="center" vertical="center" wrapText="1"/>
    </xf>
    <xf numFmtId="3" fontId="28" fillId="0" borderId="29" xfId="0" applyNumberFormat="1" applyFont="1" applyBorder="1" applyAlignment="1">
      <alignment horizontal="right" vertical="center"/>
    </xf>
    <xf numFmtId="3" fontId="30" fillId="0" borderId="29" xfId="0" applyNumberFormat="1" applyFont="1" applyBorder="1" applyAlignment="1">
      <alignment horizontal="right" vertical="center"/>
    </xf>
    <xf numFmtId="3" fontId="35" fillId="0" borderId="29" xfId="0" applyNumberFormat="1" applyFont="1" applyBorder="1" applyAlignment="1">
      <alignment horizontal="right" vertical="center"/>
    </xf>
    <xf numFmtId="0" fontId="28" fillId="0" borderId="32" xfId="0" applyFont="1" applyFill="1" applyBorder="1" applyAlignment="1">
      <alignment horizontal="center" vertical="center" wrapText="1"/>
    </xf>
    <xf numFmtId="3" fontId="28" fillId="0" borderId="0" xfId="0" applyNumberFormat="1" applyFont="1" applyAlignment="1">
      <alignment horizontal="right"/>
    </xf>
    <xf numFmtId="0" fontId="30" fillId="25" borderId="40" xfId="0" applyFont="1" applyFill="1" applyBorder="1" applyAlignment="1">
      <alignment horizontal="center" vertical="center" wrapText="1"/>
    </xf>
    <xf numFmtId="0" fontId="30" fillId="25" borderId="41" xfId="0" applyFont="1" applyFill="1" applyBorder="1" applyAlignment="1">
      <alignment horizontal="center" vertical="center" wrapText="1"/>
    </xf>
    <xf numFmtId="3" fontId="30" fillId="25" borderId="42" xfId="0" applyNumberFormat="1"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28" fillId="0" borderId="0" xfId="0" applyFont="1" applyAlignment="1">
      <alignment horizontal="center" vertical="center"/>
    </xf>
    <xf numFmtId="173" fontId="28" fillId="0" borderId="0" xfId="0" applyNumberFormat="1" applyFont="1" applyAlignment="1">
      <alignment horizontal="right" vertical="center"/>
    </xf>
    <xf numFmtId="3" fontId="28" fillId="0" borderId="0" xfId="0" applyNumberFormat="1" applyFont="1" applyAlignment="1">
      <alignment vertical="center"/>
    </xf>
    <xf numFmtId="3" fontId="28" fillId="0" borderId="33" xfId="0" applyNumberFormat="1" applyFont="1" applyBorder="1" applyAlignment="1">
      <alignment horizontal="right" vertical="center"/>
    </xf>
    <xf numFmtId="0" fontId="28" fillId="0" borderId="22" xfId="0" applyNumberFormat="1" applyFont="1" applyBorder="1" applyAlignment="1">
      <alignment horizontal="center" vertical="center"/>
    </xf>
    <xf numFmtId="0" fontId="28" fillId="0" borderId="23" xfId="0" applyNumberFormat="1" applyFont="1" applyBorder="1" applyAlignment="1">
      <alignment horizontal="left" vertical="center" wrapText="1"/>
    </xf>
    <xf numFmtId="0" fontId="38" fillId="0" borderId="0" xfId="0" applyFont="1" applyAlignment="1">
      <alignment horizontal="center" vertical="center"/>
    </xf>
    <xf numFmtId="0" fontId="38" fillId="0" borderId="0" xfId="0" applyFont="1" applyAlignment="1">
      <alignment vertical="center"/>
    </xf>
    <xf numFmtId="173" fontId="38" fillId="0" borderId="0" xfId="0" applyNumberFormat="1" applyFont="1" applyAlignment="1">
      <alignment vertical="center"/>
    </xf>
    <xf numFmtId="3" fontId="38" fillId="0" borderId="0" xfId="0" applyNumberFormat="1" applyFont="1" applyAlignment="1">
      <alignment vertical="center"/>
    </xf>
    <xf numFmtId="3" fontId="30" fillId="0" borderId="33" xfId="0" applyNumberFormat="1" applyFont="1" applyBorder="1" applyAlignment="1">
      <alignment horizontal="right" vertical="center"/>
    </xf>
    <xf numFmtId="0" fontId="39" fillId="0" borderId="0" xfId="0" applyFont="1" applyAlignment="1">
      <alignment vertical="center"/>
    </xf>
    <xf numFmtId="175" fontId="83" fillId="0" borderId="23" xfId="0" applyNumberFormat="1" applyFont="1" applyBorder="1" applyAlignment="1">
      <alignment horizontal="center" vertical="top" wrapText="1"/>
    </xf>
    <xf numFmtId="4" fontId="83" fillId="0" borderId="23" xfId="0" applyNumberFormat="1" applyFont="1" applyBorder="1" applyAlignment="1">
      <alignment horizontal="center" vertical="top" wrapText="1"/>
    </xf>
    <xf numFmtId="0" fontId="35" fillId="0" borderId="22" xfId="0" applyFont="1" applyFill="1" applyBorder="1" applyAlignment="1">
      <alignment horizontal="center" vertical="center" wrapText="1"/>
    </xf>
    <xf numFmtId="0" fontId="35" fillId="0" borderId="23" xfId="0" applyFont="1" applyFill="1" applyBorder="1" applyAlignment="1">
      <alignment horizontal="justify" vertical="center" wrapText="1"/>
    </xf>
    <xf numFmtId="0" fontId="35" fillId="0" borderId="0" xfId="0" applyFont="1" applyAlignment="1">
      <alignment vertical="center"/>
    </xf>
    <xf numFmtId="3" fontId="28" fillId="0" borderId="0" xfId="0" applyNumberFormat="1" applyFont="1" applyAlignment="1">
      <alignment horizontal="left"/>
    </xf>
    <xf numFmtId="0" fontId="30" fillId="0" borderId="24" xfId="0" applyFont="1" applyFill="1" applyBorder="1" applyAlignment="1">
      <alignment horizontal="center" vertical="center" wrapText="1"/>
    </xf>
    <xf numFmtId="0" fontId="30" fillId="0" borderId="32" xfId="0" applyFont="1" applyFill="1" applyBorder="1" applyAlignment="1">
      <alignment horizontal="justify" vertical="center" wrapText="1"/>
    </xf>
    <xf numFmtId="0" fontId="30" fillId="0" borderId="32" xfId="0" applyFont="1" applyFill="1" applyBorder="1" applyAlignment="1">
      <alignment horizontal="center" vertical="center" wrapText="1"/>
    </xf>
    <xf numFmtId="0" fontId="28" fillId="0" borderId="37" xfId="0" applyNumberFormat="1" applyFont="1" applyBorder="1" applyAlignment="1">
      <alignment horizontal="center" vertical="center"/>
    </xf>
    <xf numFmtId="0" fontId="28" fillId="0" borderId="38" xfId="0" applyNumberFormat="1" applyFont="1" applyBorder="1" applyAlignment="1">
      <alignment horizontal="left" vertical="center" wrapText="1"/>
    </xf>
    <xf numFmtId="0" fontId="28" fillId="0" borderId="38" xfId="0" applyFont="1" applyBorder="1" applyAlignment="1">
      <alignment horizontal="center" vertical="center" wrapText="1"/>
    </xf>
    <xf numFmtId="3" fontId="28" fillId="0" borderId="38" xfId="77" applyNumberFormat="1" applyFont="1" applyBorder="1" applyAlignment="1">
      <alignment horizontal="right" vertical="center"/>
    </xf>
    <xf numFmtId="3" fontId="28" fillId="0" borderId="39" xfId="0" applyNumberFormat="1" applyFont="1" applyBorder="1" applyAlignment="1">
      <alignment horizontal="right" vertical="center"/>
    </xf>
    <xf numFmtId="3" fontId="35" fillId="0" borderId="33" xfId="0" applyNumberFormat="1" applyFont="1" applyBorder="1" applyAlignment="1">
      <alignment horizontal="right" vertical="center"/>
    </xf>
    <xf numFmtId="0" fontId="28" fillId="0" borderId="37" xfId="0" applyFont="1" applyFill="1" applyBorder="1" applyAlignment="1">
      <alignment horizontal="center" vertical="center" wrapText="1"/>
    </xf>
    <xf numFmtId="0" fontId="28" fillId="0" borderId="38" xfId="0" applyFont="1" applyFill="1" applyBorder="1" applyAlignment="1">
      <alignment horizontal="justify" vertical="center" wrapText="1"/>
    </xf>
    <xf numFmtId="0" fontId="28" fillId="0" borderId="38" xfId="0" applyFont="1" applyFill="1" applyBorder="1" applyAlignment="1">
      <alignment horizontal="center" vertical="center" wrapText="1"/>
    </xf>
    <xf numFmtId="3" fontId="28" fillId="0" borderId="38" xfId="0" applyNumberFormat="1" applyFont="1" applyBorder="1" applyAlignment="1">
      <alignment vertical="center"/>
    </xf>
    <xf numFmtId="4" fontId="28" fillId="0" borderId="0" xfId="0" applyNumberFormat="1" applyFont="1" applyAlignment="1">
      <alignment horizontal="right"/>
    </xf>
    <xf numFmtId="4" fontId="84" fillId="25" borderId="41" xfId="0" applyNumberFormat="1" applyFont="1" applyFill="1" applyBorder="1" applyAlignment="1">
      <alignment horizontal="center" vertical="center" wrapText="1"/>
    </xf>
    <xf numFmtId="4" fontId="85" fillId="0" borderId="23" xfId="0" applyNumberFormat="1" applyFont="1" applyBorder="1" applyAlignment="1">
      <alignment horizontal="center" vertical="top" wrapText="1"/>
    </xf>
    <xf numFmtId="4" fontId="83" fillId="0" borderId="38" xfId="0" applyNumberFormat="1" applyFont="1" applyBorder="1" applyAlignment="1">
      <alignment horizontal="center" vertical="top" wrapText="1"/>
    </xf>
    <xf numFmtId="4" fontId="84" fillId="0" borderId="32" xfId="0" applyNumberFormat="1" applyFont="1" applyBorder="1" applyAlignment="1">
      <alignment horizontal="center" vertical="top" wrapText="1"/>
    </xf>
    <xf numFmtId="4" fontId="84" fillId="0" borderId="23" xfId="0" applyNumberFormat="1" applyFont="1" applyBorder="1" applyAlignment="1">
      <alignment horizontal="center" vertical="top" wrapText="1"/>
    </xf>
    <xf numFmtId="4" fontId="83" fillId="0" borderId="0" xfId="0" applyNumberFormat="1" applyFont="1" applyAlignment="1">
      <alignment horizontal="center"/>
    </xf>
    <xf numFmtId="175" fontId="83" fillId="0" borderId="38" xfId="0" applyNumberFormat="1" applyFont="1" applyBorder="1" applyAlignment="1">
      <alignment horizontal="center" vertical="top" wrapText="1"/>
    </xf>
    <xf numFmtId="173" fontId="89" fillId="0" borderId="0" xfId="0" applyNumberFormat="1" applyFont="1" applyAlignment="1">
      <alignment vertical="center"/>
    </xf>
    <xf numFmtId="0" fontId="35" fillId="0" borderId="19" xfId="0" applyFont="1" applyFill="1" applyBorder="1" applyAlignment="1">
      <alignment horizontal="center" vertical="center" wrapText="1"/>
    </xf>
    <xf numFmtId="0" fontId="35" fillId="0" borderId="16" xfId="0" applyFont="1" applyFill="1" applyBorder="1" applyAlignment="1">
      <alignment horizontal="left" vertical="center" wrapText="1"/>
    </xf>
    <xf numFmtId="174" fontId="83" fillId="0" borderId="23" xfId="0" applyNumberFormat="1" applyFont="1" applyBorder="1" applyAlignment="1">
      <alignment horizontal="center" vertical="top" wrapText="1"/>
    </xf>
    <xf numFmtId="174" fontId="83" fillId="0" borderId="38" xfId="0" applyNumberFormat="1" applyFont="1" applyBorder="1" applyAlignment="1">
      <alignment horizontal="center" vertical="top" wrapText="1"/>
    </xf>
    <xf numFmtId="0" fontId="35" fillId="0" borderId="24" xfId="0" applyFont="1" applyFill="1" applyBorder="1" applyAlignment="1">
      <alignment horizontal="center" vertical="center" wrapText="1"/>
    </xf>
    <xf numFmtId="0" fontId="35" fillId="0" borderId="32" xfId="0" applyFont="1" applyFill="1" applyBorder="1" applyAlignment="1">
      <alignment horizontal="justify" vertical="center" wrapText="1"/>
    </xf>
    <xf numFmtId="0" fontId="35" fillId="0" borderId="32" xfId="0" applyFont="1" applyFill="1" applyBorder="1" applyAlignment="1">
      <alignment horizontal="center" vertical="center" wrapText="1"/>
    </xf>
    <xf numFmtId="4" fontId="85" fillId="0" borderId="32" xfId="0" applyNumberFormat="1" applyFont="1" applyBorder="1" applyAlignment="1">
      <alignment horizontal="center" vertical="top" wrapText="1"/>
    </xf>
    <xf numFmtId="0" fontId="35" fillId="0" borderId="26" xfId="0" applyFont="1" applyFill="1" applyBorder="1" applyAlignment="1">
      <alignment horizontal="center" vertical="center" wrapText="1"/>
    </xf>
    <xf numFmtId="0" fontId="35" fillId="0" borderId="14" xfId="0" applyFont="1" applyFill="1" applyBorder="1" applyAlignment="1">
      <alignment horizontal="justify" vertical="center" wrapText="1"/>
    </xf>
    <xf numFmtId="0" fontId="35" fillId="0" borderId="14" xfId="0" applyFont="1" applyFill="1" applyBorder="1" applyAlignment="1">
      <alignment horizontal="center" vertical="center" wrapText="1"/>
    </xf>
    <xf numFmtId="4" fontId="85" fillId="0" borderId="14" xfId="0" applyNumberFormat="1" applyFont="1" applyBorder="1" applyAlignment="1">
      <alignment horizontal="center" vertical="top" wrapText="1"/>
    </xf>
    <xf numFmtId="3" fontId="35" fillId="0" borderId="27" xfId="0" applyNumberFormat="1" applyFont="1" applyBorder="1" applyAlignment="1">
      <alignment horizontal="right" vertical="center"/>
    </xf>
    <xf numFmtId="0" fontId="28" fillId="0" borderId="24" xfId="0" applyFont="1" applyFill="1" applyBorder="1" applyAlignment="1">
      <alignment horizontal="center" vertical="center" wrapText="1"/>
    </xf>
    <xf numFmtId="0" fontId="28" fillId="0" borderId="32" xfId="0" applyFont="1" applyFill="1" applyBorder="1" applyAlignment="1">
      <alignment horizontal="justify" vertical="center" wrapText="1"/>
    </xf>
    <xf numFmtId="165" fontId="28" fillId="0" borderId="38" xfId="77" applyNumberFormat="1" applyFont="1" applyBorder="1" applyAlignment="1">
      <alignment horizontal="right" vertical="center"/>
    </xf>
    <xf numFmtId="166" fontId="28" fillId="0" borderId="23" xfId="77" applyNumberFormat="1" applyFont="1" applyBorder="1" applyAlignment="1">
      <alignment horizontal="right" vertical="center"/>
    </xf>
    <xf numFmtId="166" fontId="28" fillId="0" borderId="38" xfId="77" applyNumberFormat="1" applyFont="1" applyBorder="1" applyAlignment="1">
      <alignment horizontal="right" vertical="center"/>
    </xf>
    <xf numFmtId="166" fontId="28" fillId="0" borderId="0" xfId="77" applyNumberFormat="1" applyFont="1" applyAlignment="1">
      <alignment horizontal="center"/>
    </xf>
    <xf numFmtId="166" fontId="30" fillId="25" borderId="41" xfId="77" applyNumberFormat="1" applyFont="1" applyFill="1" applyBorder="1" applyAlignment="1">
      <alignment horizontal="center" vertical="center" wrapText="1"/>
    </xf>
    <xf numFmtId="166" fontId="35" fillId="0" borderId="23" xfId="77" applyNumberFormat="1" applyFont="1" applyBorder="1" applyAlignment="1">
      <alignment horizontal="right" vertical="center"/>
    </xf>
    <xf numFmtId="166" fontId="30" fillId="0" borderId="32" xfId="77" applyNumberFormat="1" applyFont="1" applyBorder="1" applyAlignment="1">
      <alignment horizontal="right" vertical="center"/>
    </xf>
    <xf numFmtId="166" fontId="30" fillId="0" borderId="23" xfId="77" applyNumberFormat="1" applyFont="1" applyBorder="1" applyAlignment="1">
      <alignment horizontal="right" vertical="center"/>
    </xf>
    <xf numFmtId="166" fontId="35" fillId="0" borderId="14" xfId="77" applyNumberFormat="1" applyFont="1" applyBorder="1" applyAlignment="1">
      <alignment horizontal="right" vertical="center"/>
    </xf>
    <xf numFmtId="166" fontId="35" fillId="0" borderId="32" xfId="77" applyNumberFormat="1" applyFont="1" applyBorder="1" applyAlignment="1">
      <alignment horizontal="right" vertical="center"/>
    </xf>
    <xf numFmtId="166" fontId="28" fillId="0" borderId="0" xfId="77" applyNumberFormat="1" applyFont="1" applyAlignment="1">
      <alignment horizontal="right" vertical="center"/>
    </xf>
    <xf numFmtId="166" fontId="28" fillId="0" borderId="30" xfId="77" applyNumberFormat="1" applyFont="1" applyBorder="1" applyAlignment="1">
      <alignment horizontal="right" vertical="center"/>
    </xf>
    <xf numFmtId="166" fontId="38" fillId="0" borderId="0" xfId="77" applyNumberFormat="1" applyFont="1" applyAlignment="1">
      <alignment vertical="center"/>
    </xf>
    <xf numFmtId="9" fontId="28" fillId="0" borderId="23" xfId="0" applyNumberFormat="1" applyFont="1" applyFill="1" applyBorder="1" applyAlignment="1">
      <alignment horizontal="center" vertical="center" wrapText="1"/>
    </xf>
    <xf numFmtId="0" fontId="34" fillId="0" borderId="0" xfId="0" applyFont="1" applyAlignment="1">
      <alignment vertical="center" wrapText="1"/>
    </xf>
    <xf numFmtId="3" fontId="35" fillId="0" borderId="23" xfId="0" applyNumberFormat="1" applyFont="1" applyBorder="1" applyAlignment="1">
      <alignment vertical="center" wrapText="1"/>
    </xf>
    <xf numFmtId="166" fontId="35" fillId="0" borderId="23" xfId="77" applyNumberFormat="1" applyFont="1" applyBorder="1" applyAlignment="1">
      <alignment horizontal="right" vertical="center" wrapText="1"/>
    </xf>
    <xf numFmtId="3" fontId="35" fillId="0" borderId="29" xfId="0" applyNumberFormat="1" applyFont="1" applyBorder="1" applyAlignment="1">
      <alignment horizontal="right" vertical="center" wrapText="1"/>
    </xf>
    <xf numFmtId="0" fontId="35" fillId="0" borderId="0" xfId="0" applyFont="1" applyAlignment="1">
      <alignment vertical="center" wrapText="1"/>
    </xf>
    <xf numFmtId="3" fontId="28" fillId="0" borderId="23" xfId="0" applyNumberFormat="1" applyFont="1" applyBorder="1" applyAlignment="1">
      <alignment vertical="center" wrapText="1"/>
    </xf>
    <xf numFmtId="166" fontId="28" fillId="0" borderId="23" xfId="77" applyNumberFormat="1" applyFont="1" applyBorder="1" applyAlignment="1">
      <alignment horizontal="right" vertical="center" wrapText="1"/>
    </xf>
    <xf numFmtId="3" fontId="28" fillId="0" borderId="29" xfId="0" applyNumberFormat="1" applyFont="1" applyBorder="1" applyAlignment="1">
      <alignment horizontal="right" vertical="center" wrapText="1"/>
    </xf>
    <xf numFmtId="0" fontId="28" fillId="0" borderId="0" xfId="0" applyFont="1" applyAlignment="1">
      <alignment vertical="center" wrapText="1"/>
    </xf>
    <xf numFmtId="3" fontId="28" fillId="0" borderId="38" xfId="0" applyNumberFormat="1" applyFont="1" applyBorder="1" applyAlignment="1">
      <alignment vertical="center" wrapText="1"/>
    </xf>
    <xf numFmtId="166" fontId="28" fillId="0" borderId="38" xfId="77" applyNumberFormat="1" applyFont="1" applyBorder="1" applyAlignment="1">
      <alignment horizontal="right" vertical="center" wrapText="1"/>
    </xf>
    <xf numFmtId="3" fontId="28" fillId="0" borderId="39" xfId="0" applyNumberFormat="1" applyFont="1" applyBorder="1" applyAlignment="1">
      <alignment horizontal="right" vertical="center" wrapText="1"/>
    </xf>
    <xf numFmtId="3" fontId="30" fillId="0" borderId="32" xfId="0" applyNumberFormat="1" applyFont="1" applyBorder="1" applyAlignment="1">
      <alignment vertical="center" wrapText="1"/>
    </xf>
    <xf numFmtId="166" fontId="30" fillId="0" borderId="32" xfId="77" applyNumberFormat="1" applyFont="1" applyBorder="1" applyAlignment="1">
      <alignment horizontal="right" vertical="center" wrapText="1"/>
    </xf>
    <xf numFmtId="3" fontId="30" fillId="0" borderId="33" xfId="0" applyNumberFormat="1" applyFont="1" applyBorder="1" applyAlignment="1">
      <alignment horizontal="right" vertical="center" wrapText="1"/>
    </xf>
    <xf numFmtId="166" fontId="35" fillId="0" borderId="32" xfId="77" applyNumberFormat="1" applyFont="1" applyBorder="1" applyAlignment="1">
      <alignment horizontal="right" vertical="center" wrapText="1"/>
    </xf>
    <xf numFmtId="3" fontId="30" fillId="0" borderId="23" xfId="0" applyNumberFormat="1" applyFont="1" applyBorder="1" applyAlignment="1">
      <alignment vertical="center" wrapText="1"/>
    </xf>
    <xf numFmtId="166" fontId="30" fillId="0" borderId="23" xfId="77" applyNumberFormat="1" applyFont="1" applyBorder="1" applyAlignment="1">
      <alignment horizontal="right" vertical="center" wrapText="1"/>
    </xf>
    <xf numFmtId="3" fontId="30" fillId="0" borderId="29" xfId="0" applyNumberFormat="1" applyFont="1" applyBorder="1" applyAlignment="1">
      <alignment horizontal="right" vertical="center" wrapText="1"/>
    </xf>
    <xf numFmtId="3" fontId="35" fillId="0" borderId="32" xfId="0" applyNumberFormat="1" applyFont="1" applyBorder="1" applyAlignment="1">
      <alignment vertical="center" wrapText="1"/>
    </xf>
    <xf numFmtId="3" fontId="35" fillId="0" borderId="33" xfId="0" applyNumberFormat="1" applyFont="1" applyBorder="1" applyAlignment="1">
      <alignment horizontal="right" vertical="center" wrapText="1"/>
    </xf>
    <xf numFmtId="3" fontId="28" fillId="0" borderId="32" xfId="0" applyNumberFormat="1" applyFont="1" applyBorder="1" applyAlignment="1">
      <alignment vertical="center" wrapText="1"/>
    </xf>
    <xf numFmtId="166" fontId="28" fillId="0" borderId="32" xfId="77" applyNumberFormat="1" applyFont="1" applyBorder="1" applyAlignment="1">
      <alignment horizontal="right" vertical="center" wrapText="1"/>
    </xf>
    <xf numFmtId="0" fontId="28" fillId="0" borderId="0" xfId="0" applyFont="1" applyAlignment="1">
      <alignment horizontal="center" vertical="center" wrapText="1"/>
    </xf>
    <xf numFmtId="166" fontId="28" fillId="0" borderId="0" xfId="77" applyNumberFormat="1" applyFont="1" applyAlignment="1">
      <alignment horizontal="center" vertical="center" wrapText="1"/>
    </xf>
    <xf numFmtId="3" fontId="28" fillId="0" borderId="0" xfId="0" applyNumberFormat="1" applyFont="1" applyAlignment="1">
      <alignment horizontal="left" vertical="center" wrapText="1"/>
    </xf>
    <xf numFmtId="3" fontId="28" fillId="0" borderId="0" xfId="0" applyNumberFormat="1" applyFont="1" applyAlignment="1">
      <alignment horizontal="right" vertical="center" wrapText="1"/>
    </xf>
    <xf numFmtId="0" fontId="30" fillId="25" borderId="19" xfId="0" applyFont="1" applyFill="1" applyBorder="1" applyAlignment="1">
      <alignment horizontal="center" vertical="center" wrapText="1"/>
    </xf>
    <xf numFmtId="0" fontId="30" fillId="25" borderId="47" xfId="0" applyFont="1" applyFill="1" applyBorder="1" applyAlignment="1">
      <alignment horizontal="center" vertical="center" wrapText="1"/>
    </xf>
    <xf numFmtId="0" fontId="30" fillId="25" borderId="0" xfId="0" applyFont="1" applyFill="1" applyBorder="1" applyAlignment="1">
      <alignment horizontal="center" vertical="center" wrapText="1"/>
    </xf>
    <xf numFmtId="166" fontId="30" fillId="25" borderId="0" xfId="77" applyNumberFormat="1" applyFont="1" applyFill="1" applyBorder="1" applyAlignment="1">
      <alignment horizontal="center" vertical="center" wrapText="1"/>
    </xf>
    <xf numFmtId="3" fontId="30" fillId="25" borderId="48" xfId="0" applyNumberFormat="1" applyFont="1" applyFill="1" applyBorder="1" applyAlignment="1">
      <alignment horizontal="center" vertical="center" wrapText="1"/>
    </xf>
    <xf numFmtId="0" fontId="88" fillId="0" borderId="23" xfId="0" applyFont="1" applyFill="1" applyBorder="1" applyAlignment="1">
      <alignment horizontal="center" vertical="center" wrapText="1"/>
    </xf>
    <xf numFmtId="2" fontId="88" fillId="0" borderId="32" xfId="0" applyNumberFormat="1" applyFont="1" applyBorder="1" applyAlignment="1">
      <alignment horizontal="right" vertical="center" wrapText="1"/>
    </xf>
    <xf numFmtId="2" fontId="88" fillId="0" borderId="23" xfId="0" applyNumberFormat="1" applyFont="1" applyBorder="1" applyAlignment="1">
      <alignment horizontal="right" vertical="center" wrapText="1"/>
    </xf>
    <xf numFmtId="0" fontId="35" fillId="0" borderId="32" xfId="0" applyFont="1" applyFill="1" applyBorder="1" applyAlignment="1">
      <alignment horizontal="left"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3" fillId="26" borderId="51" xfId="0" applyFont="1" applyFill="1" applyBorder="1" applyAlignment="1">
      <alignment horizontal="justify" vertical="center" wrapText="1"/>
    </xf>
    <xf numFmtId="0" fontId="35" fillId="0" borderId="52" xfId="0" applyFont="1" applyFill="1" applyBorder="1" applyAlignment="1">
      <alignment horizontal="left" vertical="center" wrapText="1"/>
    </xf>
    <xf numFmtId="9" fontId="28" fillId="0" borderId="38" xfId="0" applyNumberFormat="1" applyFont="1" applyBorder="1" applyAlignment="1">
      <alignment horizontal="center" vertical="center" wrapText="1"/>
    </xf>
    <xf numFmtId="9" fontId="28" fillId="0" borderId="38" xfId="0" applyNumberFormat="1" applyFont="1" applyFill="1" applyBorder="1" applyAlignment="1">
      <alignment horizontal="center" vertical="center" wrapText="1"/>
    </xf>
    <xf numFmtId="3" fontId="28" fillId="0" borderId="23" xfId="0" applyNumberFormat="1" applyFont="1" applyFill="1" applyBorder="1" applyAlignment="1">
      <alignment horizontal="center" vertical="center" wrapText="1"/>
    </xf>
    <xf numFmtId="3" fontId="28" fillId="0" borderId="38" xfId="0" applyNumberFormat="1" applyFont="1" applyFill="1" applyBorder="1" applyAlignment="1">
      <alignment horizontal="center" vertical="center" wrapText="1"/>
    </xf>
    <xf numFmtId="3" fontId="35" fillId="0" borderId="39" xfId="0" applyNumberFormat="1" applyFont="1" applyBorder="1" applyAlignment="1">
      <alignment horizontal="right" vertical="center"/>
    </xf>
    <xf numFmtId="3" fontId="35" fillId="0" borderId="39" xfId="0" applyNumberFormat="1" applyFont="1" applyBorder="1" applyAlignment="1">
      <alignment horizontal="right" vertical="center" wrapText="1"/>
    </xf>
    <xf numFmtId="0" fontId="28" fillId="0" borderId="36" xfId="0" applyFont="1" applyFill="1" applyBorder="1" applyAlignment="1">
      <alignment horizontal="center" vertical="center" wrapText="1"/>
    </xf>
    <xf numFmtId="0" fontId="28" fillId="0" borderId="30" xfId="0" applyFont="1" applyFill="1" applyBorder="1" applyAlignment="1">
      <alignment horizontal="justify" vertical="center" wrapText="1"/>
    </xf>
    <xf numFmtId="0" fontId="28" fillId="0" borderId="30" xfId="0" applyFont="1" applyFill="1" applyBorder="1" applyAlignment="1">
      <alignment horizontal="center" vertical="center" wrapText="1"/>
    </xf>
    <xf numFmtId="9" fontId="28" fillId="0" borderId="30" xfId="0" applyNumberFormat="1" applyFont="1" applyFill="1" applyBorder="1" applyAlignment="1">
      <alignment horizontal="center" vertical="center" wrapText="1"/>
    </xf>
    <xf numFmtId="3" fontId="28" fillId="0" borderId="30" xfId="0" applyNumberFormat="1" applyFont="1" applyFill="1" applyBorder="1" applyAlignment="1">
      <alignment horizontal="center" vertical="center" wrapText="1"/>
    </xf>
    <xf numFmtId="3" fontId="35" fillId="0" borderId="31" xfId="0" applyNumberFormat="1" applyFont="1" applyBorder="1" applyAlignment="1">
      <alignment horizontal="right" vertical="center" wrapText="1"/>
    </xf>
    <xf numFmtId="9" fontId="35" fillId="0" borderId="23" xfId="166" applyFont="1" applyBorder="1" applyAlignment="1">
      <alignment horizontal="right" vertical="center"/>
    </xf>
    <xf numFmtId="174" fontId="83" fillId="0" borderId="30" xfId="0" applyNumberFormat="1" applyFont="1" applyBorder="1" applyAlignment="1">
      <alignment horizontal="center" vertical="top" wrapText="1"/>
    </xf>
    <xf numFmtId="3" fontId="28" fillId="0" borderId="31" xfId="0" applyNumberFormat="1" applyFont="1" applyBorder="1" applyAlignment="1">
      <alignment horizontal="right" vertical="center"/>
    </xf>
    <xf numFmtId="0" fontId="35" fillId="27" borderId="22" xfId="0" applyFont="1" applyFill="1" applyBorder="1" applyAlignment="1">
      <alignment horizontal="center" vertical="center" wrapText="1"/>
    </xf>
    <xf numFmtId="0" fontId="35" fillId="27" borderId="23" xfId="0" applyFont="1" applyFill="1" applyBorder="1" applyAlignment="1">
      <alignment horizontal="justify" vertical="center" wrapText="1"/>
    </xf>
    <xf numFmtId="0" fontId="35" fillId="27" borderId="23" xfId="0" applyFont="1" applyFill="1" applyBorder="1" applyAlignment="1">
      <alignment horizontal="center" vertical="center" wrapText="1"/>
    </xf>
    <xf numFmtId="166" fontId="35" fillId="27" borderId="23" xfId="77" applyNumberFormat="1" applyFont="1" applyFill="1" applyBorder="1" applyAlignment="1">
      <alignment horizontal="right" vertical="center"/>
    </xf>
    <xf numFmtId="3" fontId="35" fillId="27" borderId="29" xfId="0" applyNumberFormat="1" applyFont="1" applyFill="1" applyBorder="1" applyAlignment="1">
      <alignment horizontal="right" vertical="center"/>
    </xf>
    <xf numFmtId="0" fontId="28" fillId="27" borderId="22" xfId="0" applyFont="1" applyFill="1" applyBorder="1" applyAlignment="1">
      <alignment horizontal="center" vertical="center" wrapText="1"/>
    </xf>
    <xf numFmtId="0" fontId="28" fillId="27" borderId="23" xfId="0" applyFont="1" applyFill="1" applyBorder="1" applyAlignment="1">
      <alignment horizontal="justify" vertical="center" wrapText="1"/>
    </xf>
    <xf numFmtId="0" fontId="28" fillId="27" borderId="23" xfId="0" applyFont="1" applyFill="1" applyBorder="1" applyAlignment="1">
      <alignment horizontal="center" vertical="center" wrapText="1"/>
    </xf>
    <xf numFmtId="166" fontId="28" fillId="27" borderId="23" xfId="77" applyNumberFormat="1" applyFont="1" applyFill="1" applyBorder="1" applyAlignment="1">
      <alignment horizontal="right" vertical="center"/>
    </xf>
    <xf numFmtId="3" fontId="28" fillId="27" borderId="29" xfId="0" applyNumberFormat="1" applyFont="1" applyFill="1" applyBorder="1" applyAlignment="1">
      <alignment horizontal="right" vertical="center"/>
    </xf>
    <xf numFmtId="0" fontId="30" fillId="27" borderId="22" xfId="0" applyFont="1" applyFill="1" applyBorder="1" applyAlignment="1">
      <alignment horizontal="center" vertical="center" wrapText="1"/>
    </xf>
    <xf numFmtId="0" fontId="30" fillId="27" borderId="23" xfId="0" applyFont="1" applyFill="1" applyBorder="1" applyAlignment="1">
      <alignment horizontal="justify" vertical="center" wrapText="1"/>
    </xf>
    <xf numFmtId="0" fontId="30" fillId="27" borderId="23" xfId="0" applyFont="1" applyFill="1" applyBorder="1" applyAlignment="1">
      <alignment horizontal="center" vertical="center" wrapText="1"/>
    </xf>
    <xf numFmtId="166" fontId="30" fillId="27" borderId="23" xfId="77" applyNumberFormat="1" applyFont="1" applyFill="1" applyBorder="1" applyAlignment="1">
      <alignment horizontal="right" vertical="center"/>
    </xf>
    <xf numFmtId="3" fontId="30" fillId="27" borderId="29" xfId="0" applyNumberFormat="1" applyFont="1" applyFill="1" applyBorder="1" applyAlignment="1">
      <alignment horizontal="right" vertical="center"/>
    </xf>
    <xf numFmtId="0" fontId="28" fillId="27" borderId="38" xfId="0" applyFont="1" applyFill="1" applyBorder="1" applyAlignment="1">
      <alignment horizontal="center" vertical="center" wrapText="1"/>
    </xf>
    <xf numFmtId="9" fontId="28" fillId="27" borderId="38" xfId="0" applyNumberFormat="1" applyFont="1" applyFill="1" applyBorder="1" applyAlignment="1">
      <alignment horizontal="center" vertical="center" wrapText="1"/>
    </xf>
    <xf numFmtId="166" fontId="28" fillId="27" borderId="38" xfId="77" applyNumberFormat="1" applyFont="1" applyFill="1" applyBorder="1" applyAlignment="1">
      <alignment horizontal="right" vertical="center"/>
    </xf>
    <xf numFmtId="3" fontId="28" fillId="27" borderId="23" xfId="0" applyNumberFormat="1" applyFont="1" applyFill="1" applyBorder="1" applyAlignment="1">
      <alignment vertical="center" wrapText="1"/>
    </xf>
    <xf numFmtId="166" fontId="28" fillId="27" borderId="23" xfId="77" applyNumberFormat="1" applyFont="1" applyFill="1" applyBorder="1" applyAlignment="1">
      <alignment horizontal="right" vertical="center" wrapText="1"/>
    </xf>
    <xf numFmtId="3" fontId="28" fillId="27" borderId="29" xfId="0" applyNumberFormat="1" applyFont="1" applyFill="1" applyBorder="1" applyAlignment="1">
      <alignment horizontal="right" vertical="center" wrapText="1"/>
    </xf>
    <xf numFmtId="0" fontId="28" fillId="27" borderId="37" xfId="0" applyFont="1" applyFill="1" applyBorder="1" applyAlignment="1">
      <alignment horizontal="center" vertical="center" wrapText="1"/>
    </xf>
    <xf numFmtId="0" fontId="28" fillId="27" borderId="38" xfId="0" applyFont="1" applyFill="1" applyBorder="1" applyAlignment="1">
      <alignment horizontal="justify" vertical="center" wrapText="1"/>
    </xf>
    <xf numFmtId="3" fontId="28" fillId="27" borderId="38" xfId="0" applyNumberFormat="1" applyFont="1" applyFill="1" applyBorder="1" applyAlignment="1">
      <alignment vertical="center" wrapText="1"/>
    </xf>
    <xf numFmtId="166" fontId="28" fillId="27" borderId="38" xfId="77" applyNumberFormat="1" applyFont="1" applyFill="1" applyBorder="1" applyAlignment="1">
      <alignment horizontal="right" vertical="center" wrapText="1"/>
    </xf>
    <xf numFmtId="3" fontId="35" fillId="27" borderId="39" xfId="0" applyNumberFormat="1" applyFont="1" applyFill="1" applyBorder="1" applyAlignment="1">
      <alignment horizontal="right" vertical="center" wrapText="1"/>
    </xf>
    <xf numFmtId="3" fontId="30" fillId="27" borderId="23" xfId="0" applyNumberFormat="1" applyFont="1" applyFill="1" applyBorder="1" applyAlignment="1">
      <alignment vertical="center" wrapText="1"/>
    </xf>
    <xf numFmtId="166" fontId="30" fillId="27" borderId="23" xfId="77" applyNumberFormat="1" applyFont="1" applyFill="1" applyBorder="1" applyAlignment="1">
      <alignment horizontal="right" vertical="center" wrapText="1"/>
    </xf>
    <xf numFmtId="3" fontId="30" fillId="27" borderId="29" xfId="0" applyNumberFormat="1" applyFont="1" applyFill="1" applyBorder="1" applyAlignment="1">
      <alignment horizontal="right" vertical="center" wrapText="1"/>
    </xf>
    <xf numFmtId="3" fontId="35" fillId="27" borderId="23" xfId="0" applyNumberFormat="1" applyFont="1" applyFill="1" applyBorder="1" applyAlignment="1">
      <alignment vertical="center" wrapText="1"/>
    </xf>
    <xf numFmtId="166" fontId="35" fillId="27" borderId="23" xfId="77" applyNumberFormat="1" applyFont="1" applyFill="1" applyBorder="1" applyAlignment="1">
      <alignment horizontal="right" vertical="center" wrapText="1"/>
    </xf>
    <xf numFmtId="3" fontId="35" fillId="27" borderId="29" xfId="0" applyNumberFormat="1" applyFont="1" applyFill="1" applyBorder="1" applyAlignment="1">
      <alignment horizontal="right" vertical="center" wrapText="1"/>
    </xf>
    <xf numFmtId="4" fontId="83" fillId="27" borderId="23" xfId="0" applyNumberFormat="1" applyFont="1" applyFill="1" applyBorder="1" applyAlignment="1">
      <alignment horizontal="center" vertical="top" wrapText="1"/>
    </xf>
    <xf numFmtId="4" fontId="83" fillId="27" borderId="38" xfId="0" applyNumberFormat="1" applyFont="1" applyFill="1" applyBorder="1" applyAlignment="1">
      <alignment horizontal="center" vertical="top" wrapText="1"/>
    </xf>
    <xf numFmtId="3" fontId="28" fillId="27" borderId="39" xfId="0" applyNumberFormat="1" applyFont="1" applyFill="1" applyBorder="1" applyAlignment="1">
      <alignment horizontal="right" vertical="center"/>
    </xf>
    <xf numFmtId="4" fontId="84" fillId="27" borderId="23" xfId="0" applyNumberFormat="1" applyFont="1" applyFill="1" applyBorder="1" applyAlignment="1">
      <alignment horizontal="center" vertical="top" wrapText="1"/>
    </xf>
    <xf numFmtId="4" fontId="85" fillId="27" borderId="23" xfId="0" applyNumberFormat="1" applyFont="1" applyFill="1" applyBorder="1" applyAlignment="1">
      <alignment horizontal="center" vertical="top" wrapText="1"/>
    </xf>
    <xf numFmtId="9" fontId="35" fillId="27" borderId="23" xfId="166" applyFont="1" applyFill="1" applyBorder="1" applyAlignment="1">
      <alignment horizontal="right" vertical="center"/>
    </xf>
    <xf numFmtId="174" fontId="83" fillId="27" borderId="23" xfId="0" applyNumberFormat="1" applyFont="1" applyFill="1" applyBorder="1" applyAlignment="1">
      <alignment horizontal="center" vertical="top" wrapText="1"/>
    </xf>
    <xf numFmtId="174" fontId="83" fillId="27" borderId="38" xfId="0" applyNumberFormat="1" applyFont="1" applyFill="1" applyBorder="1" applyAlignment="1">
      <alignment horizontal="center" vertical="top" wrapText="1"/>
    </xf>
    <xf numFmtId="2" fontId="86" fillId="0" borderId="0" xfId="0" applyNumberFormat="1" applyFont="1" applyAlignment="1">
      <alignment horizontal="right" vertical="center" wrapText="1"/>
    </xf>
    <xf numFmtId="2" fontId="87" fillId="25" borderId="0" xfId="0" applyNumberFormat="1" applyFont="1" applyFill="1" applyBorder="1" applyAlignment="1">
      <alignment horizontal="center" vertical="center" wrapText="1"/>
    </xf>
    <xf numFmtId="2" fontId="86" fillId="0" borderId="23" xfId="0" applyNumberFormat="1" applyFont="1" applyBorder="1" applyAlignment="1">
      <alignment horizontal="right" vertical="center" wrapText="1"/>
    </xf>
    <xf numFmtId="2" fontId="86" fillId="0" borderId="38" xfId="0" applyNumberFormat="1" applyFont="1" applyBorder="1" applyAlignment="1">
      <alignment horizontal="right" vertical="center" wrapText="1"/>
    </xf>
    <xf numFmtId="2" fontId="87" fillId="0" borderId="32" xfId="0" applyNumberFormat="1" applyFont="1" applyBorder="1" applyAlignment="1">
      <alignment horizontal="right" vertical="center" wrapText="1"/>
    </xf>
    <xf numFmtId="2" fontId="87" fillId="0" borderId="23" xfId="0" applyNumberFormat="1" applyFont="1" applyBorder="1" applyAlignment="1">
      <alignment horizontal="right" vertical="center" wrapText="1"/>
    </xf>
    <xf numFmtId="2" fontId="86" fillId="27" borderId="23" xfId="0" applyNumberFormat="1" applyFont="1" applyFill="1" applyBorder="1" applyAlignment="1">
      <alignment horizontal="right" vertical="center" wrapText="1"/>
    </xf>
    <xf numFmtId="2" fontId="86" fillId="27" borderId="38" xfId="0" applyNumberFormat="1" applyFont="1" applyFill="1" applyBorder="1" applyAlignment="1">
      <alignment horizontal="right" vertical="center" wrapText="1"/>
    </xf>
    <xf numFmtId="2" fontId="87" fillId="27" borderId="23" xfId="0" applyNumberFormat="1" applyFont="1" applyFill="1" applyBorder="1" applyAlignment="1">
      <alignment horizontal="right" vertical="center" wrapText="1"/>
    </xf>
    <xf numFmtId="2" fontId="86" fillId="0" borderId="23" xfId="77" applyNumberFormat="1" applyFont="1" applyBorder="1" applyAlignment="1">
      <alignment horizontal="right" vertical="center" wrapText="1"/>
    </xf>
    <xf numFmtId="2" fontId="88" fillId="27" borderId="23" xfId="0" applyNumberFormat="1" applyFont="1" applyFill="1" applyBorder="1" applyAlignment="1">
      <alignment horizontal="right" vertical="center" wrapText="1"/>
    </xf>
    <xf numFmtId="2" fontId="86" fillId="27" borderId="23" xfId="77" applyNumberFormat="1" applyFont="1" applyFill="1" applyBorder="1" applyAlignment="1">
      <alignment horizontal="right" vertical="center" wrapText="1"/>
    </xf>
    <xf numFmtId="2" fontId="86" fillId="0" borderId="32" xfId="0" applyNumberFormat="1" applyFont="1" applyBorder="1" applyAlignment="1">
      <alignment horizontal="right" vertical="center" wrapText="1"/>
    </xf>
    <xf numFmtId="2" fontId="86" fillId="0" borderId="30" xfId="0" applyNumberFormat="1" applyFont="1" applyBorder="1" applyAlignment="1">
      <alignment horizontal="right" vertical="center" wrapText="1"/>
    </xf>
    <xf numFmtId="0" fontId="28" fillId="0" borderId="52" xfId="0" applyFont="1" applyFill="1" applyBorder="1" applyAlignment="1">
      <alignment horizontal="center" vertical="center" wrapText="1"/>
    </xf>
    <xf numFmtId="9" fontId="28" fillId="0" borderId="52" xfId="0" applyNumberFormat="1" applyFont="1" applyFill="1" applyBorder="1" applyAlignment="1">
      <alignment horizontal="center" vertical="center" wrapText="1"/>
    </xf>
    <xf numFmtId="3" fontId="28" fillId="0" borderId="52" xfId="0" applyNumberFormat="1" applyFont="1" applyBorder="1" applyAlignment="1">
      <alignment vertical="center" wrapText="1"/>
    </xf>
    <xf numFmtId="166" fontId="28" fillId="0" borderId="52" xfId="77" applyNumberFormat="1" applyFont="1" applyBorder="1" applyAlignment="1">
      <alignment horizontal="right" vertical="center" wrapText="1"/>
    </xf>
    <xf numFmtId="2" fontId="86" fillId="0" borderId="52" xfId="0" applyNumberFormat="1" applyFont="1" applyBorder="1" applyAlignment="1">
      <alignment horizontal="right" vertical="center" wrapText="1"/>
    </xf>
    <xf numFmtId="3" fontId="35" fillId="0" borderId="55" xfId="0" applyNumberFormat="1" applyFont="1" applyBorder="1" applyAlignment="1">
      <alignment horizontal="right" vertical="center" wrapText="1"/>
    </xf>
    <xf numFmtId="2" fontId="33" fillId="25" borderId="41" xfId="0" applyNumberFormat="1" applyFont="1" applyFill="1" applyBorder="1" applyAlignment="1">
      <alignment horizontal="center" vertical="center" wrapText="1"/>
    </xf>
    <xf numFmtId="166" fontId="30" fillId="25" borderId="14" xfId="77" applyNumberFormat="1" applyFont="1" applyFill="1" applyBorder="1" applyAlignment="1">
      <alignment horizontal="center" vertical="center" wrapText="1"/>
    </xf>
    <xf numFmtId="4" fontId="84" fillId="25" borderId="14" xfId="0" applyNumberFormat="1" applyFont="1" applyFill="1" applyBorder="1" applyAlignment="1">
      <alignment horizontal="center" vertical="center" wrapText="1"/>
    </xf>
    <xf numFmtId="3" fontId="30" fillId="25" borderId="27" xfId="0" applyNumberFormat="1" applyFont="1" applyFill="1" applyBorder="1" applyAlignment="1">
      <alignment horizontal="center" vertical="center" wrapText="1"/>
    </xf>
    <xf numFmtId="2" fontId="85" fillId="0" borderId="23" xfId="0" applyNumberFormat="1" applyFont="1" applyBorder="1" applyAlignment="1">
      <alignment horizontal="right" vertical="center" wrapText="1"/>
    </xf>
    <xf numFmtId="0" fontId="30" fillId="0" borderId="44" xfId="0" applyFont="1" applyFill="1" applyBorder="1" applyAlignment="1">
      <alignment horizontal="center" vertical="center" wrapText="1"/>
    </xf>
    <xf numFmtId="166" fontId="30" fillId="0" borderId="44" xfId="77" applyNumberFormat="1" applyFont="1" applyFill="1" applyBorder="1" applyAlignment="1">
      <alignment horizontal="center" vertical="center" wrapText="1"/>
    </xf>
    <xf numFmtId="166" fontId="30" fillId="0" borderId="25" xfId="77" applyNumberFormat="1" applyFont="1" applyFill="1" applyBorder="1" applyAlignment="1">
      <alignment horizontal="center" vertical="center" wrapText="1"/>
    </xf>
    <xf numFmtId="174" fontId="86" fillId="0" borderId="0" xfId="0" applyNumberFormat="1" applyFont="1" applyAlignment="1">
      <alignment horizontal="right" vertical="center"/>
    </xf>
    <xf numFmtId="174" fontId="28" fillId="0" borderId="0" xfId="0" applyNumberFormat="1" applyFont="1" applyAlignment="1">
      <alignment vertical="center"/>
    </xf>
    <xf numFmtId="174" fontId="30" fillId="0" borderId="45" xfId="0" applyNumberFormat="1" applyFont="1" applyFill="1" applyBorder="1" applyAlignment="1">
      <alignment horizontal="center" vertical="center" wrapText="1"/>
    </xf>
    <xf numFmtId="174" fontId="89" fillId="0" borderId="0" xfId="0" applyNumberFormat="1" applyFont="1" applyAlignment="1">
      <alignment vertical="center"/>
    </xf>
    <xf numFmtId="174" fontId="38" fillId="0" borderId="0" xfId="0" applyNumberFormat="1" applyFont="1" applyAlignment="1">
      <alignment vertical="center"/>
    </xf>
    <xf numFmtId="0" fontId="30" fillId="0" borderId="41" xfId="0" applyFont="1" applyFill="1" applyBorder="1" applyAlignment="1">
      <alignment horizontal="center" vertical="center" wrapText="1"/>
    </xf>
    <xf numFmtId="4" fontId="30" fillId="0" borderId="41" xfId="0" applyNumberFormat="1" applyFont="1" applyFill="1" applyBorder="1" applyAlignment="1">
      <alignment horizontal="center" vertical="center" wrapText="1"/>
    </xf>
    <xf numFmtId="174" fontId="30" fillId="0" borderId="44" xfId="0" applyNumberFormat="1" applyFont="1" applyFill="1" applyBorder="1" applyAlignment="1">
      <alignment horizontal="center" vertical="center" wrapText="1"/>
    </xf>
    <xf numFmtId="174" fontId="28" fillId="0" borderId="32" xfId="0" applyNumberFormat="1" applyFont="1" applyBorder="1" applyAlignment="1">
      <alignment horizontal="right" vertical="center"/>
    </xf>
    <xf numFmtId="174" fontId="28" fillId="0" borderId="38" xfId="0" applyNumberFormat="1" applyFont="1" applyBorder="1" applyAlignment="1">
      <alignment horizontal="right" vertical="center"/>
    </xf>
    <xf numFmtId="0" fontId="28" fillId="0" borderId="0" xfId="0" applyFont="1" applyFill="1"/>
    <xf numFmtId="0" fontId="34" fillId="0" borderId="0" xfId="0" applyFont="1" applyFill="1"/>
    <xf numFmtId="174" fontId="34" fillId="0" borderId="0" xfId="0" applyNumberFormat="1" applyFont="1" applyFill="1"/>
    <xf numFmtId="3" fontId="34" fillId="0" borderId="0" xfId="0" applyNumberFormat="1" applyFont="1" applyFill="1"/>
    <xf numFmtId="0" fontId="28" fillId="0" borderId="14" xfId="0" applyFont="1" applyBorder="1" applyAlignment="1">
      <alignment horizontal="center" vertical="center"/>
    </xf>
    <xf numFmtId="167" fontId="28" fillId="0" borderId="14" xfId="0" applyNumberFormat="1" applyFont="1" applyBorder="1" applyAlignment="1">
      <alignment vertical="center"/>
    </xf>
    <xf numFmtId="174" fontId="28" fillId="0" borderId="14" xfId="0" applyNumberFormat="1" applyFont="1" applyBorder="1" applyAlignment="1">
      <alignment vertical="center"/>
    </xf>
    <xf numFmtId="43" fontId="28" fillId="0" borderId="0" xfId="78" applyNumberFormat="1" applyFont="1" applyAlignment="1">
      <alignment horizontal="right" vertical="center"/>
    </xf>
    <xf numFmtId="173" fontId="83" fillId="0" borderId="0" xfId="0" applyNumberFormat="1" applyFont="1" applyAlignment="1">
      <alignment horizontal="right" vertical="center"/>
    </xf>
    <xf numFmtId="166" fontId="34" fillId="0" borderId="0" xfId="78" applyNumberFormat="1" applyFont="1" applyAlignment="1">
      <alignment vertical="center"/>
    </xf>
    <xf numFmtId="0" fontId="34" fillId="0" borderId="0" xfId="0" applyFont="1" applyAlignment="1">
      <alignment horizontal="center" vertical="center"/>
    </xf>
    <xf numFmtId="43" fontId="34" fillId="0" borderId="0" xfId="78" applyNumberFormat="1" applyFont="1" applyAlignment="1">
      <alignment vertical="center"/>
    </xf>
    <xf numFmtId="3" fontId="34" fillId="0" borderId="0" xfId="0" applyNumberFormat="1" applyFont="1" applyAlignment="1">
      <alignment vertical="center"/>
    </xf>
    <xf numFmtId="0" fontId="34" fillId="0" borderId="0" xfId="153" applyFont="1" applyAlignment="1">
      <alignment vertical="center"/>
    </xf>
    <xf numFmtId="0" fontId="28" fillId="0" borderId="0" xfId="153" applyFont="1" applyAlignment="1">
      <alignment horizontal="center" vertical="center"/>
    </xf>
    <xf numFmtId="0" fontId="28" fillId="0" borderId="0" xfId="153" applyFont="1" applyAlignment="1">
      <alignment vertical="center"/>
    </xf>
    <xf numFmtId="166" fontId="28" fillId="0" borderId="0" xfId="79" applyNumberFormat="1" applyFont="1" applyAlignment="1">
      <alignment vertical="center"/>
    </xf>
    <xf numFmtId="166" fontId="28" fillId="0" borderId="0" xfId="79" applyNumberFormat="1" applyFont="1" applyAlignment="1">
      <alignment horizontal="right" vertical="center"/>
    </xf>
    <xf numFmtId="185" fontId="28" fillId="0" borderId="0" xfId="79" applyNumberFormat="1" applyFont="1" applyAlignment="1">
      <alignment vertical="center"/>
    </xf>
    <xf numFmtId="4" fontId="28" fillId="0" borderId="0" xfId="153" applyNumberFormat="1" applyFont="1" applyAlignment="1">
      <alignment vertical="center"/>
    </xf>
    <xf numFmtId="0" fontId="30" fillId="0" borderId="18" xfId="153" applyFont="1" applyFill="1" applyBorder="1" applyAlignment="1">
      <alignment horizontal="center" vertical="center" wrapText="1"/>
    </xf>
    <xf numFmtId="0" fontId="30" fillId="0" borderId="41" xfId="153" applyFont="1" applyFill="1" applyBorder="1" applyAlignment="1">
      <alignment horizontal="center" vertical="center" wrapText="1"/>
    </xf>
    <xf numFmtId="166" fontId="30" fillId="0" borderId="41" xfId="79" applyNumberFormat="1" applyFont="1" applyFill="1" applyBorder="1" applyAlignment="1">
      <alignment horizontal="center" vertical="center" wrapText="1"/>
    </xf>
    <xf numFmtId="185" fontId="30" fillId="0" borderId="41" xfId="79" applyNumberFormat="1" applyFont="1" applyFill="1" applyBorder="1" applyAlignment="1">
      <alignment vertical="center" wrapText="1"/>
    </xf>
    <xf numFmtId="4" fontId="30" fillId="0" borderId="45" xfId="153" applyNumberFormat="1" applyFont="1" applyFill="1" applyBorder="1" applyAlignment="1">
      <alignment horizontal="center" vertical="center" wrapText="1"/>
    </xf>
    <xf numFmtId="0" fontId="36" fillId="0" borderId="0" xfId="153" applyFont="1" applyAlignment="1">
      <alignment horizontal="center" vertical="center" wrapText="1"/>
    </xf>
    <xf numFmtId="0" fontId="28" fillId="0" borderId="23" xfId="153" applyFont="1" applyFill="1" applyBorder="1" applyAlignment="1">
      <alignment horizontal="justify" vertical="center" wrapText="1"/>
    </xf>
    <xf numFmtId="0" fontId="28" fillId="0" borderId="23" xfId="153" applyFont="1" applyFill="1" applyBorder="1" applyAlignment="1">
      <alignment horizontal="center" vertical="center" wrapText="1"/>
    </xf>
    <xf numFmtId="166" fontId="28" fillId="0" borderId="23" xfId="79" applyNumberFormat="1" applyFont="1" applyBorder="1" applyAlignment="1">
      <alignment vertical="center" wrapText="1"/>
    </xf>
    <xf numFmtId="166" fontId="28" fillId="0" borderId="23" xfId="79" applyNumberFormat="1" applyFont="1" applyBorder="1" applyAlignment="1">
      <alignment horizontal="right" vertical="center" wrapText="1"/>
    </xf>
    <xf numFmtId="4" fontId="28" fillId="0" borderId="33" xfId="153" applyNumberFormat="1" applyFont="1" applyBorder="1" applyAlignment="1">
      <alignment horizontal="right" vertical="center"/>
    </xf>
    <xf numFmtId="0" fontId="28" fillId="0" borderId="38" xfId="153" applyFont="1" applyFill="1" applyBorder="1" applyAlignment="1">
      <alignment horizontal="justify" vertical="center" wrapText="1"/>
    </xf>
    <xf numFmtId="0" fontId="28" fillId="0" borderId="38" xfId="153" applyFont="1" applyFill="1" applyBorder="1" applyAlignment="1">
      <alignment horizontal="center" vertical="center" wrapText="1"/>
    </xf>
    <xf numFmtId="9" fontId="28" fillId="0" borderId="38" xfId="153" applyNumberFormat="1" applyFont="1" applyFill="1" applyBorder="1" applyAlignment="1">
      <alignment horizontal="center" vertical="center" wrapText="1"/>
    </xf>
    <xf numFmtId="166" fontId="28" fillId="0" borderId="38" xfId="79" applyNumberFormat="1" applyFont="1" applyBorder="1" applyAlignment="1">
      <alignment vertical="center" wrapText="1"/>
    </xf>
    <xf numFmtId="166" fontId="28" fillId="0" borderId="38" xfId="79" applyNumberFormat="1" applyFont="1" applyBorder="1" applyAlignment="1">
      <alignment horizontal="right" vertical="center" wrapText="1"/>
    </xf>
    <xf numFmtId="0" fontId="30" fillId="0" borderId="16" xfId="153" applyFont="1" applyFill="1" applyBorder="1" applyAlignment="1">
      <alignment horizontal="left" vertical="center" wrapText="1"/>
    </xf>
    <xf numFmtId="0" fontId="30" fillId="0" borderId="23" xfId="153" applyFont="1" applyFill="1" applyBorder="1" applyAlignment="1">
      <alignment horizontal="center" vertical="center" wrapText="1"/>
    </xf>
    <xf numFmtId="184" fontId="30" fillId="0" borderId="23" xfId="79" applyNumberFormat="1" applyFont="1" applyFill="1" applyBorder="1" applyAlignment="1">
      <alignment horizontal="right" vertical="center" wrapText="1"/>
    </xf>
    <xf numFmtId="166" fontId="28" fillId="0" borderId="23" xfId="79" applyNumberFormat="1" applyFont="1" applyFill="1" applyBorder="1" applyAlignment="1">
      <alignment horizontal="center" vertical="center" wrapText="1"/>
    </xf>
    <xf numFmtId="184" fontId="30" fillId="0" borderId="32" xfId="79" applyNumberFormat="1" applyFont="1" applyFill="1" applyBorder="1" applyAlignment="1">
      <alignment horizontal="right" vertical="center" wrapText="1"/>
    </xf>
    <xf numFmtId="0" fontId="30" fillId="0" borderId="0" xfId="153" applyFont="1" applyAlignment="1">
      <alignment vertical="center"/>
    </xf>
    <xf numFmtId="0" fontId="30" fillId="0" borderId="23" xfId="153" applyFont="1" applyFill="1" applyBorder="1" applyAlignment="1">
      <alignment horizontal="justify" vertical="center" wrapText="1"/>
    </xf>
    <xf numFmtId="0" fontId="30" fillId="0" borderId="14" xfId="153" applyFont="1" applyFill="1" applyBorder="1" applyAlignment="1">
      <alignment horizontal="center" vertical="center" wrapText="1"/>
    </xf>
    <xf numFmtId="3" fontId="30" fillId="0" borderId="14" xfId="153" applyNumberFormat="1" applyFont="1" applyFill="1" applyBorder="1" applyAlignment="1">
      <alignment vertical="center"/>
    </xf>
    <xf numFmtId="166" fontId="30" fillId="0" borderId="14" xfId="79" applyNumberFormat="1" applyFont="1" applyFill="1" applyBorder="1" applyAlignment="1">
      <alignment vertical="center"/>
    </xf>
    <xf numFmtId="166" fontId="30" fillId="0" borderId="14" xfId="79" applyNumberFormat="1" applyFont="1" applyFill="1" applyBorder="1" applyAlignment="1">
      <alignment horizontal="right" vertical="center"/>
    </xf>
    <xf numFmtId="0" fontId="35" fillId="0" borderId="0" xfId="153" applyFont="1" applyFill="1" applyAlignment="1">
      <alignment vertical="center"/>
    </xf>
    <xf numFmtId="0" fontId="28" fillId="0" borderId="14" xfId="153" applyFont="1" applyFill="1" applyBorder="1" applyAlignment="1">
      <alignment horizontal="center" vertical="center" wrapText="1"/>
    </xf>
    <xf numFmtId="0" fontId="28" fillId="0" borderId="14" xfId="153" applyFont="1" applyFill="1" applyBorder="1" applyAlignment="1">
      <alignment horizontal="justify" vertical="center" wrapText="1"/>
    </xf>
    <xf numFmtId="0" fontId="28" fillId="0" borderId="14" xfId="153" applyFont="1" applyBorder="1" applyAlignment="1">
      <alignment horizontal="center" vertical="center" wrapText="1"/>
    </xf>
    <xf numFmtId="3" fontId="28" fillId="0" borderId="14" xfId="79" applyNumberFormat="1" applyFont="1" applyBorder="1" applyAlignment="1">
      <alignment horizontal="center" vertical="center"/>
    </xf>
    <xf numFmtId="166" fontId="28" fillId="0" borderId="14" xfId="79" applyNumberFormat="1" applyFont="1" applyBorder="1" applyAlignment="1">
      <alignment horizontal="right" vertical="center"/>
    </xf>
    <xf numFmtId="184" fontId="28" fillId="0" borderId="14" xfId="79" applyNumberFormat="1" applyFont="1" applyBorder="1" applyAlignment="1">
      <alignment vertical="center"/>
    </xf>
    <xf numFmtId="4" fontId="34" fillId="0" borderId="0" xfId="153" applyNumberFormat="1" applyFont="1" applyAlignment="1">
      <alignment vertical="center"/>
    </xf>
    <xf numFmtId="184" fontId="28" fillId="0" borderId="14" xfId="79" applyNumberFormat="1" applyFont="1" applyBorder="1" applyAlignment="1">
      <alignment vertical="center" wrapText="1"/>
    </xf>
    <xf numFmtId="0" fontId="35" fillId="0" borderId="14" xfId="153" applyFont="1" applyFill="1" applyBorder="1" applyAlignment="1">
      <alignment horizontal="justify" vertical="center" wrapText="1"/>
    </xf>
    <xf numFmtId="0" fontId="35" fillId="0" borderId="23" xfId="153" applyFont="1" applyFill="1" applyBorder="1" applyAlignment="1">
      <alignment horizontal="justify" vertical="center" wrapText="1"/>
    </xf>
    <xf numFmtId="0" fontId="28" fillId="0" borderId="0" xfId="153" applyFont="1" applyFill="1" applyAlignment="1">
      <alignment vertical="center"/>
    </xf>
    <xf numFmtId="0" fontId="28" fillId="0" borderId="23" xfId="153" applyFont="1" applyBorder="1" applyAlignment="1">
      <alignment horizontal="center" vertical="center" wrapText="1"/>
    </xf>
    <xf numFmtId="3" fontId="28" fillId="0" borderId="23" xfId="79" applyNumberFormat="1" applyFont="1" applyBorder="1" applyAlignment="1">
      <alignment horizontal="center" vertical="center"/>
    </xf>
    <xf numFmtId="166" fontId="28" fillId="0" borderId="32" xfId="79" applyNumberFormat="1" applyFont="1" applyBorder="1" applyAlignment="1">
      <alignment horizontal="right" vertical="center"/>
    </xf>
    <xf numFmtId="0" fontId="30" fillId="0" borderId="52" xfId="153" applyFont="1" applyFill="1" applyBorder="1" applyAlignment="1">
      <alignment horizontal="justify" vertical="center" wrapText="1"/>
    </xf>
    <xf numFmtId="0" fontId="28" fillId="0" borderId="52" xfId="153" applyFont="1" applyFill="1" applyBorder="1" applyAlignment="1">
      <alignment horizontal="justify" vertical="center" wrapText="1"/>
    </xf>
    <xf numFmtId="0" fontId="34" fillId="0" borderId="0" xfId="153" applyFont="1" applyAlignment="1">
      <alignment horizontal="center" vertical="center"/>
    </xf>
    <xf numFmtId="166" fontId="34" fillId="0" borderId="0" xfId="79" applyNumberFormat="1" applyFont="1" applyAlignment="1">
      <alignment vertical="center"/>
    </xf>
    <xf numFmtId="185" fontId="34" fillId="0" borderId="0" xfId="79" applyNumberFormat="1" applyFont="1" applyAlignment="1">
      <alignment vertical="center"/>
    </xf>
    <xf numFmtId="43" fontId="28" fillId="0" borderId="0" xfId="77" applyFont="1" applyFill="1"/>
    <xf numFmtId="0" fontId="28" fillId="0" borderId="0" xfId="0" applyFont="1" applyFill="1" applyAlignment="1">
      <alignment wrapText="1"/>
    </xf>
    <xf numFmtId="0" fontId="94" fillId="0" borderId="0" xfId="0" applyFont="1" applyFill="1"/>
    <xf numFmtId="3" fontId="30" fillId="0" borderId="56" xfId="0" applyNumberFormat="1" applyFont="1" applyFill="1" applyBorder="1" applyAlignment="1">
      <alignment horizontal="center" vertical="center" wrapText="1"/>
    </xf>
    <xf numFmtId="174" fontId="30" fillId="0" borderId="62" xfId="0" applyNumberFormat="1" applyFont="1" applyFill="1" applyBorder="1" applyAlignment="1">
      <alignment horizontal="center" vertical="center" wrapText="1"/>
    </xf>
    <xf numFmtId="174" fontId="30" fillId="0" borderId="63" xfId="0" applyNumberFormat="1" applyFont="1" applyFill="1" applyBorder="1" applyAlignment="1">
      <alignment horizontal="center" vertical="center" wrapText="1"/>
    </xf>
    <xf numFmtId="3" fontId="30" fillId="0" borderId="63" xfId="0" applyNumberFormat="1" applyFont="1" applyFill="1" applyBorder="1" applyAlignment="1">
      <alignment horizontal="center" vertical="center" wrapText="1"/>
    </xf>
    <xf numFmtId="0" fontId="91" fillId="0" borderId="14" xfId="0" applyFont="1" applyFill="1" applyBorder="1" applyAlignment="1">
      <alignment horizontal="center" vertical="center" wrapText="1"/>
    </xf>
    <xf numFmtId="174" fontId="28" fillId="0" borderId="14" xfId="0" applyNumberFormat="1" applyFont="1" applyFill="1" applyBorder="1" applyAlignment="1">
      <alignment horizontal="center" vertical="center" wrapText="1"/>
    </xf>
    <xf numFmtId="174" fontId="30" fillId="0" borderId="14" xfId="0" applyNumberFormat="1" applyFont="1" applyFill="1" applyBorder="1" applyAlignment="1">
      <alignment horizontal="center" vertical="center" wrapText="1"/>
    </xf>
    <xf numFmtId="0" fontId="28" fillId="0" borderId="14" xfId="0" applyFont="1" applyFill="1" applyBorder="1" applyAlignment="1">
      <alignment horizontal="center" vertical="center"/>
    </xf>
    <xf numFmtId="174" fontId="28" fillId="0" borderId="14" xfId="0" applyNumberFormat="1" applyFont="1" applyFill="1" applyBorder="1" applyAlignment="1">
      <alignment horizontal="center" vertical="center"/>
    </xf>
    <xf numFmtId="174" fontId="32"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32" fillId="0" borderId="14" xfId="0" applyFont="1" applyFill="1" applyBorder="1" applyAlignment="1">
      <alignment horizontal="center" vertical="center" wrapText="1"/>
    </xf>
    <xf numFmtId="174" fontId="30" fillId="0" borderId="15" xfId="0" applyNumberFormat="1" applyFont="1" applyFill="1" applyBorder="1" applyAlignment="1">
      <alignment horizontal="center" vertical="center" wrapText="1"/>
    </xf>
    <xf numFmtId="0" fontId="82" fillId="0" borderId="14" xfId="0" applyFont="1" applyFill="1" applyBorder="1" applyAlignment="1">
      <alignment horizontal="center" vertical="center" wrapText="1"/>
    </xf>
    <xf numFmtId="0" fontId="28" fillId="0" borderId="14" xfId="0" applyFont="1" applyFill="1" applyBorder="1" applyAlignment="1">
      <alignment horizontal="center" vertical="center" wrapText="1"/>
    </xf>
    <xf numFmtId="166" fontId="28" fillId="0" borderId="14" xfId="77" applyNumberFormat="1" applyFont="1" applyFill="1" applyBorder="1" applyAlignment="1">
      <alignment vertical="center" wrapText="1"/>
    </xf>
    <xf numFmtId="0" fontId="32" fillId="0" borderId="25" xfId="0" applyFont="1" applyFill="1" applyBorder="1" applyAlignment="1">
      <alignment vertical="center" wrapText="1"/>
    </xf>
    <xf numFmtId="167" fontId="28" fillId="0" borderId="14" xfId="0" applyNumberFormat="1" applyFont="1" applyBorder="1" applyAlignment="1">
      <alignment horizontal="right" vertical="center"/>
    </xf>
    <xf numFmtId="3" fontId="30" fillId="0" borderId="45" xfId="0" applyNumberFormat="1" applyFont="1" applyFill="1" applyBorder="1" applyAlignment="1">
      <alignment horizontal="center" vertical="center" wrapText="1"/>
    </xf>
    <xf numFmtId="3" fontId="30" fillId="0" borderId="46" xfId="0" applyNumberFormat="1" applyFont="1" applyFill="1" applyBorder="1" applyAlignment="1">
      <alignment horizontal="center" vertical="center" wrapText="1"/>
    </xf>
    <xf numFmtId="3" fontId="35" fillId="0" borderId="29" xfId="0" applyNumberFormat="1" applyFont="1" applyFill="1" applyBorder="1" applyAlignment="1">
      <alignment horizontal="right" vertical="center"/>
    </xf>
    <xf numFmtId="0" fontId="28" fillId="0" borderId="0" xfId="153" applyFont="1" applyAlignment="1">
      <alignment horizontal="right" vertical="center"/>
    </xf>
    <xf numFmtId="0" fontId="30" fillId="0" borderId="17" xfId="153" applyFont="1" applyFill="1" applyBorder="1" applyAlignment="1">
      <alignment horizontal="right" vertical="center" wrapText="1"/>
    </xf>
    <xf numFmtId="0" fontId="28" fillId="0" borderId="22" xfId="153" applyFont="1" applyFill="1" applyBorder="1" applyAlignment="1">
      <alignment horizontal="right" vertical="center" wrapText="1"/>
    </xf>
    <xf numFmtId="0" fontId="30" fillId="0" borderId="19" xfId="153" applyFont="1" applyFill="1" applyBorder="1" applyAlignment="1">
      <alignment horizontal="right" vertical="center" wrapText="1"/>
    </xf>
    <xf numFmtId="0" fontId="30" fillId="0" borderId="22" xfId="153" applyFont="1" applyFill="1" applyBorder="1" applyAlignment="1">
      <alignment horizontal="right" vertical="center" wrapText="1"/>
    </xf>
    <xf numFmtId="0" fontId="30" fillId="0" borderId="14" xfId="153" applyFont="1" applyFill="1" applyBorder="1" applyAlignment="1">
      <alignment horizontal="right" vertical="center" wrapText="1"/>
    </xf>
    <xf numFmtId="0" fontId="35" fillId="0" borderId="14" xfId="153" applyFont="1" applyFill="1" applyBorder="1" applyAlignment="1">
      <alignment horizontal="right" vertical="center" wrapText="1"/>
    </xf>
    <xf numFmtId="0" fontId="28" fillId="0" borderId="14" xfId="153" applyFont="1" applyFill="1" applyBorder="1" applyAlignment="1">
      <alignment horizontal="right" vertical="center" wrapText="1"/>
    </xf>
    <xf numFmtId="0" fontId="35" fillId="0" borderId="22" xfId="153" applyFont="1" applyFill="1" applyBorder="1" applyAlignment="1">
      <alignment horizontal="right" vertical="center" wrapText="1"/>
    </xf>
    <xf numFmtId="0" fontId="28" fillId="0" borderId="37" xfId="153" applyFont="1" applyFill="1" applyBorder="1" applyAlignment="1">
      <alignment horizontal="right" vertical="center" wrapText="1"/>
    </xf>
    <xf numFmtId="0" fontId="28" fillId="0" borderId="57" xfId="153" applyFont="1" applyFill="1" applyBorder="1" applyAlignment="1">
      <alignment horizontal="right" vertical="center" wrapText="1"/>
    </xf>
    <xf numFmtId="0" fontId="34" fillId="0" borderId="0" xfId="153" applyFont="1" applyAlignment="1">
      <alignment horizontal="right" vertical="center"/>
    </xf>
    <xf numFmtId="4" fontId="30" fillId="0" borderId="33" xfId="153" applyNumberFormat="1" applyFont="1" applyFill="1" applyBorder="1" applyAlignment="1">
      <alignment horizontal="right" vertical="center"/>
    </xf>
    <xf numFmtId="3" fontId="28" fillId="0" borderId="14" xfId="79" applyNumberFormat="1" applyFont="1" applyFill="1" applyBorder="1" applyAlignment="1">
      <alignment horizontal="center" vertical="center"/>
    </xf>
    <xf numFmtId="166" fontId="28" fillId="0" borderId="14" xfId="79" applyNumberFormat="1" applyFont="1" applyFill="1" applyBorder="1" applyAlignment="1">
      <alignment horizontal="right" vertical="center"/>
    </xf>
    <xf numFmtId="184" fontId="28" fillId="0" borderId="14" xfId="79" applyNumberFormat="1" applyFont="1" applyFill="1" applyBorder="1" applyAlignment="1">
      <alignment vertical="center"/>
    </xf>
    <xf numFmtId="4" fontId="28" fillId="0" borderId="33" xfId="153" applyNumberFormat="1" applyFont="1" applyFill="1" applyBorder="1" applyAlignment="1">
      <alignment horizontal="right" vertical="center"/>
    </xf>
    <xf numFmtId="0" fontId="34" fillId="0" borderId="0" xfId="153" applyFont="1" applyFill="1" applyAlignment="1">
      <alignment vertical="center"/>
    </xf>
    <xf numFmtId="4" fontId="34" fillId="0" borderId="0" xfId="153" applyNumberFormat="1" applyFont="1" applyFill="1" applyAlignment="1">
      <alignment vertical="center"/>
    </xf>
    <xf numFmtId="166" fontId="30" fillId="0" borderId="0" xfId="77" applyNumberFormat="1" applyFont="1" applyAlignment="1">
      <alignment vertical="center"/>
    </xf>
    <xf numFmtId="166" fontId="30" fillId="0" borderId="0" xfId="77" applyNumberFormat="1" applyFont="1" applyFill="1" applyAlignment="1">
      <alignment vertical="center"/>
    </xf>
    <xf numFmtId="184" fontId="28" fillId="0" borderId="14" xfId="77" applyNumberFormat="1" applyFont="1" applyBorder="1" applyAlignment="1">
      <alignment vertical="center"/>
    </xf>
    <xf numFmtId="3" fontId="30" fillId="0" borderId="25" xfId="0" applyNumberFormat="1" applyFont="1" applyFill="1" applyBorder="1" applyAlignment="1">
      <alignment horizontal="center" vertical="center" wrapText="1"/>
    </xf>
    <xf numFmtId="165" fontId="28" fillId="0" borderId="32" xfId="77" applyNumberFormat="1" applyFont="1" applyBorder="1" applyAlignment="1">
      <alignment horizontal="right" vertical="center"/>
    </xf>
    <xf numFmtId="167" fontId="28" fillId="0" borderId="0" xfId="0" applyNumberFormat="1" applyFont="1" applyAlignment="1">
      <alignment vertical="center"/>
    </xf>
    <xf numFmtId="166" fontId="39" fillId="0" borderId="0" xfId="0" applyNumberFormat="1" applyFont="1" applyAlignment="1">
      <alignment vertical="center"/>
    </xf>
    <xf numFmtId="166" fontId="30" fillId="29" borderId="0" xfId="77" applyNumberFormat="1" applyFont="1" applyFill="1" applyAlignment="1">
      <alignment vertical="center"/>
    </xf>
    <xf numFmtId="0" fontId="34" fillId="29" borderId="0" xfId="153" applyFont="1" applyFill="1" applyAlignment="1">
      <alignment vertical="center"/>
    </xf>
    <xf numFmtId="0" fontId="30" fillId="0" borderId="0" xfId="0" applyFont="1" applyFill="1"/>
    <xf numFmtId="0" fontId="36" fillId="0" borderId="0" xfId="0" applyFont="1" applyFill="1"/>
    <xf numFmtId="0" fontId="33" fillId="0" borderId="64" xfId="0" applyFont="1" applyFill="1" applyBorder="1" applyAlignment="1">
      <alignment horizontal="center" vertical="center" wrapText="1"/>
    </xf>
    <xf numFmtId="176" fontId="33" fillId="0" borderId="65" xfId="0" applyNumberFormat="1" applyFont="1" applyFill="1" applyBorder="1" applyAlignment="1">
      <alignment horizontal="center" vertical="center" wrapText="1"/>
    </xf>
    <xf numFmtId="173" fontId="85" fillId="0" borderId="59" xfId="0" applyNumberFormat="1" applyFont="1" applyFill="1" applyBorder="1" applyAlignment="1">
      <alignment horizontal="right" vertical="center"/>
    </xf>
    <xf numFmtId="4" fontId="83" fillId="0" borderId="35" xfId="0" applyNumberFormat="1" applyFont="1" applyBorder="1" applyAlignment="1">
      <alignment horizontal="right" vertical="center"/>
    </xf>
    <xf numFmtId="4" fontId="83" fillId="0" borderId="66" xfId="0" applyNumberFormat="1" applyFont="1" applyBorder="1" applyAlignment="1">
      <alignment horizontal="right" vertical="center"/>
    </xf>
    <xf numFmtId="166" fontId="30" fillId="0" borderId="14" xfId="78" applyNumberFormat="1" applyFont="1" applyFill="1" applyBorder="1" applyAlignment="1">
      <alignment horizontal="center" vertical="center" wrapText="1"/>
    </xf>
    <xf numFmtId="4" fontId="30" fillId="0" borderId="14" xfId="0" applyNumberFormat="1" applyFont="1" applyFill="1" applyBorder="1" applyAlignment="1">
      <alignment horizontal="center" vertical="center" wrapText="1"/>
    </xf>
    <xf numFmtId="43" fontId="30" fillId="0" borderId="14" xfId="78" applyNumberFormat="1" applyFont="1" applyFill="1" applyBorder="1" applyAlignment="1">
      <alignment horizontal="center" vertical="center" wrapText="1"/>
    </xf>
    <xf numFmtId="0" fontId="35" fillId="0" borderId="14" xfId="0" applyNumberFormat="1" applyFont="1" applyBorder="1" applyAlignment="1">
      <alignment horizontal="center" vertical="center"/>
    </xf>
    <xf numFmtId="0" fontId="35" fillId="0" borderId="14" xfId="0" applyNumberFormat="1" applyFont="1" applyFill="1" applyBorder="1" applyAlignment="1">
      <alignment horizontal="left" vertical="center" wrapText="1"/>
    </xf>
    <xf numFmtId="9" fontId="35" fillId="0" borderId="14" xfId="0" applyNumberFormat="1" applyFont="1" applyFill="1" applyBorder="1" applyAlignment="1">
      <alignment horizontal="center" vertical="center" wrapText="1"/>
    </xf>
    <xf numFmtId="4" fontId="35" fillId="0" borderId="14" xfId="78" applyNumberFormat="1" applyFont="1" applyFill="1" applyBorder="1" applyAlignment="1">
      <alignment horizontal="right" vertical="center"/>
    </xf>
    <xf numFmtId="43" fontId="35" fillId="0" borderId="14" xfId="78" applyNumberFormat="1" applyFont="1" applyFill="1" applyBorder="1" applyAlignment="1">
      <alignment horizontal="right" vertical="center"/>
    </xf>
    <xf numFmtId="0" fontId="28" fillId="0" borderId="14" xfId="0" applyFont="1" applyFill="1" applyBorder="1" applyAlignment="1">
      <alignment horizontal="justify" vertical="center" wrapText="1"/>
    </xf>
    <xf numFmtId="0" fontId="28" fillId="0" borderId="14" xfId="0" applyFont="1" applyBorder="1" applyAlignment="1">
      <alignment horizontal="center" wrapText="1"/>
    </xf>
    <xf numFmtId="166" fontId="28" fillId="0" borderId="14" xfId="78" applyNumberFormat="1" applyFont="1" applyBorder="1" applyAlignment="1">
      <alignment horizontal="right" vertical="center"/>
    </xf>
    <xf numFmtId="174" fontId="28" fillId="0" borderId="14" xfId="0" applyNumberFormat="1" applyFont="1" applyBorder="1" applyAlignment="1">
      <alignment horizontal="center" vertical="top" wrapText="1"/>
    </xf>
    <xf numFmtId="43" fontId="28" fillId="0" borderId="14" xfId="78" applyNumberFormat="1" applyFont="1" applyBorder="1" applyAlignment="1">
      <alignment horizontal="right" vertical="center"/>
    </xf>
    <xf numFmtId="0" fontId="30" fillId="0" borderId="14" xfId="0" applyFont="1" applyFill="1" applyBorder="1" applyAlignment="1">
      <alignment horizontal="center" vertical="center" wrapText="1"/>
    </xf>
    <xf numFmtId="166" fontId="28" fillId="0" borderId="0" xfId="77" applyNumberFormat="1" applyFont="1"/>
    <xf numFmtId="3" fontId="30" fillId="0" borderId="14" xfId="0" applyNumberFormat="1" applyFont="1" applyFill="1" applyBorder="1" applyAlignment="1">
      <alignment horizontal="center" vertical="center" wrapText="1"/>
    </xf>
    <xf numFmtId="3" fontId="28" fillId="0" borderId="14" xfId="0" applyNumberFormat="1" applyFont="1" applyFill="1" applyBorder="1" applyAlignment="1">
      <alignment horizontal="center" vertical="center" wrapText="1"/>
    </xf>
    <xf numFmtId="0" fontId="98" fillId="0" borderId="0" xfId="205"/>
    <xf numFmtId="174" fontId="30" fillId="0" borderId="54" xfId="0" applyNumberFormat="1" applyFont="1" applyFill="1" applyBorder="1" applyAlignment="1">
      <alignment horizontal="center" vertical="center" wrapText="1"/>
    </xf>
    <xf numFmtId="0" fontId="100" fillId="0" borderId="14" xfId="205" applyFont="1" applyBorder="1" applyAlignment="1">
      <alignment horizontal="center" vertical="center" wrapText="1"/>
    </xf>
    <xf numFmtId="0" fontId="100" fillId="0" borderId="14" xfId="205" applyFont="1" applyBorder="1" applyAlignment="1">
      <alignment horizontal="center" vertical="center"/>
    </xf>
    <xf numFmtId="184" fontId="100" fillId="0" borderId="14" xfId="77" applyNumberFormat="1" applyFont="1" applyBorder="1" applyAlignment="1">
      <alignment horizontal="right" vertical="center" wrapText="1"/>
    </xf>
    <xf numFmtId="184" fontId="100" fillId="0" borderId="14" xfId="77" applyNumberFormat="1" applyFont="1" applyBorder="1" applyAlignment="1">
      <alignment horizontal="right" vertical="center"/>
    </xf>
    <xf numFmtId="166" fontId="100" fillId="0" borderId="14" xfId="77" applyNumberFormat="1" applyFont="1" applyBorder="1" applyAlignment="1">
      <alignment horizontal="right" vertical="center"/>
    </xf>
    <xf numFmtId="43" fontId="100" fillId="0" borderId="14" xfId="77" applyFont="1" applyBorder="1" applyAlignment="1">
      <alignment horizontal="right" vertical="center"/>
    </xf>
    <xf numFmtId="0" fontId="100" fillId="0" borderId="0" xfId="205" applyFont="1"/>
    <xf numFmtId="166" fontId="100" fillId="0" borderId="0" xfId="205" applyNumberFormat="1" applyFont="1"/>
    <xf numFmtId="0" fontId="100" fillId="0" borderId="14" xfId="205" applyFont="1" applyBorder="1" applyAlignment="1">
      <alignment horizontal="justify" vertical="center" wrapText="1"/>
    </xf>
    <xf numFmtId="0" fontId="28" fillId="0" borderId="14" xfId="0" applyFont="1" applyBorder="1" applyAlignment="1">
      <alignment horizontal="center" vertical="center" wrapText="1"/>
    </xf>
    <xf numFmtId="0" fontId="28" fillId="0" borderId="14" xfId="0" applyFont="1" applyBorder="1" applyAlignment="1">
      <alignment horizontal="justify" wrapText="1"/>
    </xf>
    <xf numFmtId="0" fontId="28" fillId="0" borderId="14" xfId="0" applyFont="1" applyBorder="1" applyAlignment="1">
      <alignment horizontal="right" vertical="center" wrapText="1"/>
    </xf>
    <xf numFmtId="0" fontId="30" fillId="0" borderId="14" xfId="0" applyFont="1" applyBorder="1" applyAlignment="1">
      <alignment horizontal="center" wrapText="1"/>
    </xf>
    <xf numFmtId="0" fontId="30" fillId="0" borderId="14" xfId="0" applyFont="1" applyBorder="1" applyAlignment="1">
      <alignment horizontal="center" vertical="center" wrapText="1"/>
    </xf>
    <xf numFmtId="0" fontId="28" fillId="0" borderId="14" xfId="0" applyFont="1" applyBorder="1" applyAlignment="1">
      <alignment vertical="center" wrapText="1"/>
    </xf>
    <xf numFmtId="0" fontId="103" fillId="0" borderId="14" xfId="0" applyFont="1" applyBorder="1" applyAlignment="1">
      <alignment horizontal="justify"/>
    </xf>
    <xf numFmtId="0" fontId="103" fillId="0" borderId="14" xfId="0" applyFont="1" applyBorder="1" applyAlignment="1">
      <alignment horizontal="right"/>
    </xf>
    <xf numFmtId="0" fontId="0" fillId="0" borderId="0" xfId="0" applyAlignment="1">
      <alignment wrapText="1"/>
    </xf>
    <xf numFmtId="0" fontId="102" fillId="0" borderId="14" xfId="0" applyFont="1" applyBorder="1" applyAlignment="1">
      <alignment horizontal="center" vertical="center"/>
    </xf>
    <xf numFmtId="0" fontId="0" fillId="0" borderId="0" xfId="0" applyAlignment="1">
      <alignment horizontal="center" vertical="center" wrapText="1"/>
    </xf>
    <xf numFmtId="0" fontId="102" fillId="0" borderId="14" xfId="0" applyFont="1" applyBorder="1" applyAlignment="1">
      <alignment horizontal="center" vertical="center" wrapText="1"/>
    </xf>
    <xf numFmtId="0" fontId="82" fillId="0" borderId="14" xfId="0" applyFont="1" applyBorder="1" applyAlignment="1">
      <alignment horizontal="center" vertical="center" wrapText="1"/>
    </xf>
    <xf numFmtId="0" fontId="105" fillId="0" borderId="14" xfId="0" applyFont="1" applyBorder="1" applyAlignment="1">
      <alignment horizontal="center" vertical="center" wrapText="1"/>
    </xf>
    <xf numFmtId="0" fontId="28" fillId="0" borderId="14" xfId="0" applyFont="1" applyBorder="1"/>
    <xf numFmtId="0" fontId="104" fillId="0" borderId="14" xfId="0" applyFont="1" applyBorder="1" applyAlignment="1">
      <alignment horizontal="center"/>
    </xf>
    <xf numFmtId="43" fontId="103" fillId="0" borderId="14" xfId="77" applyFont="1" applyBorder="1" applyAlignment="1">
      <alignment horizontal="center" vertical="center" wrapText="1"/>
    </xf>
    <xf numFmtId="0" fontId="102" fillId="0" borderId="14" xfId="0" applyFont="1" applyBorder="1" applyAlignment="1">
      <alignment horizontal="right" vertical="center"/>
    </xf>
    <xf numFmtId="0" fontId="12" fillId="0" borderId="0" xfId="0" applyFont="1" applyAlignment="1">
      <alignment wrapText="1"/>
    </xf>
    <xf numFmtId="0" fontId="30" fillId="0" borderId="14" xfId="0" applyFont="1" applyBorder="1" applyAlignment="1">
      <alignment horizontal="justify" wrapText="1"/>
    </xf>
    <xf numFmtId="0" fontId="30" fillId="0" borderId="14" xfId="0" applyFont="1" applyBorder="1" applyAlignment="1">
      <alignment horizontal="right" vertical="center" wrapText="1"/>
    </xf>
    <xf numFmtId="43" fontId="28" fillId="0" borderId="14" xfId="77" applyFont="1" applyBorder="1" applyAlignment="1">
      <alignment horizontal="right" vertical="center" wrapText="1"/>
    </xf>
    <xf numFmtId="184" fontId="28" fillId="0" borderId="14" xfId="77" applyNumberFormat="1" applyFont="1" applyBorder="1" applyAlignment="1">
      <alignment horizontal="right" vertical="center" wrapText="1"/>
    </xf>
    <xf numFmtId="43" fontId="28" fillId="0" borderId="0" xfId="78" applyNumberFormat="1" applyFont="1" applyAlignment="1">
      <alignment vertical="center"/>
    </xf>
    <xf numFmtId="186" fontId="38" fillId="0" borderId="0" xfId="0" applyNumberFormat="1" applyFont="1" applyAlignment="1">
      <alignment vertical="center"/>
    </xf>
    <xf numFmtId="43" fontId="34" fillId="0" borderId="0" xfId="0" applyNumberFormat="1" applyFont="1" applyAlignment="1">
      <alignment vertical="center"/>
    </xf>
    <xf numFmtId="0" fontId="30" fillId="0" borderId="14" xfId="0" applyFont="1" applyBorder="1" applyAlignment="1">
      <alignment horizontal="center" vertical="center"/>
    </xf>
    <xf numFmtId="0" fontId="30" fillId="0" borderId="14" xfId="0" applyFont="1" applyBorder="1" applyAlignment="1">
      <alignment vertical="center" wrapText="1"/>
    </xf>
    <xf numFmtId="43" fontId="28" fillId="0" borderId="14" xfId="77" applyNumberFormat="1" applyFont="1" applyBorder="1" applyAlignment="1">
      <alignment vertical="center"/>
    </xf>
    <xf numFmtId="4" fontId="30" fillId="0" borderId="46" xfId="0" applyNumberFormat="1" applyFont="1" applyFill="1" applyBorder="1" applyAlignment="1">
      <alignment horizontal="right" vertical="center" wrapText="1"/>
    </xf>
    <xf numFmtId="4" fontId="28" fillId="0" borderId="33" xfId="0" applyNumberFormat="1" applyFont="1" applyBorder="1" applyAlignment="1">
      <alignment horizontal="right" vertical="center"/>
    </xf>
    <xf numFmtId="4" fontId="35" fillId="0" borderId="39" xfId="0" applyNumberFormat="1" applyFont="1" applyBorder="1" applyAlignment="1">
      <alignment horizontal="right" vertical="center"/>
    </xf>
    <xf numFmtId="43" fontId="28" fillId="0" borderId="0" xfId="77" applyNumberFormat="1" applyFont="1" applyAlignment="1">
      <alignment vertical="center"/>
    </xf>
    <xf numFmtId="166" fontId="28" fillId="0" borderId="0" xfId="77" applyNumberFormat="1" applyFont="1" applyFill="1" applyAlignment="1"/>
    <xf numFmtId="0" fontId="30" fillId="0" borderId="14" xfId="0" applyFont="1" applyBorder="1" applyAlignment="1">
      <alignment horizontal="center" wrapText="1"/>
    </xf>
    <xf numFmtId="0" fontId="28" fillId="0" borderId="0" xfId="0" applyFont="1" applyAlignment="1">
      <alignment wrapText="1"/>
    </xf>
    <xf numFmtId="0" fontId="28" fillId="30" borderId="0" xfId="206" applyFont="1" applyFill="1" applyAlignment="1">
      <alignment vertical="center"/>
    </xf>
    <xf numFmtId="0" fontId="91" fillId="30" borderId="0" xfId="206" applyFont="1" applyFill="1" applyAlignment="1">
      <alignment vertical="center"/>
    </xf>
    <xf numFmtId="0" fontId="107" fillId="30" borderId="0" xfId="206" applyFont="1" applyFill="1" applyAlignment="1">
      <alignment vertical="center"/>
    </xf>
    <xf numFmtId="0" fontId="28" fillId="30" borderId="0" xfId="206" applyFont="1" applyFill="1" applyAlignment="1">
      <alignment vertical="center" wrapText="1"/>
    </xf>
    <xf numFmtId="0" fontId="28" fillId="30" borderId="0" xfId="206" applyFont="1" applyFill="1" applyAlignment="1">
      <alignment horizontal="center" vertical="center"/>
    </xf>
    <xf numFmtId="3" fontId="28" fillId="0" borderId="32" xfId="206" applyNumberFormat="1" applyFont="1" applyFill="1" applyBorder="1" applyAlignment="1">
      <alignment vertical="center"/>
    </xf>
    <xf numFmtId="0" fontId="108" fillId="0" borderId="32" xfId="206" applyFont="1" applyFill="1" applyBorder="1" applyAlignment="1">
      <alignment horizontal="justify" vertical="center" wrapText="1"/>
    </xf>
    <xf numFmtId="0" fontId="108" fillId="0" borderId="32" xfId="206" applyFont="1" applyFill="1" applyBorder="1" applyAlignment="1">
      <alignment horizontal="center" vertical="center" wrapText="1"/>
    </xf>
    <xf numFmtId="4" fontId="28" fillId="0" borderId="32" xfId="206" applyNumberFormat="1" applyFont="1" applyFill="1" applyBorder="1" applyAlignment="1">
      <alignment vertical="center"/>
    </xf>
    <xf numFmtId="0" fontId="108" fillId="30" borderId="0" xfId="206" applyFont="1" applyFill="1" applyAlignment="1">
      <alignment vertical="center"/>
    </xf>
    <xf numFmtId="0" fontId="112" fillId="0" borderId="14" xfId="206" applyFont="1" applyFill="1" applyBorder="1" applyAlignment="1">
      <alignment horizontal="center" vertical="center"/>
    </xf>
    <xf numFmtId="3" fontId="28" fillId="0" borderId="0" xfId="206" applyNumberFormat="1" applyFont="1" applyFill="1" applyAlignment="1">
      <alignment vertical="center"/>
    </xf>
    <xf numFmtId="43" fontId="83" fillId="0" borderId="14" xfId="77" applyFont="1" applyBorder="1" applyAlignment="1">
      <alignment vertical="center"/>
    </xf>
    <xf numFmtId="43" fontId="30" fillId="0" borderId="14" xfId="77" applyFont="1" applyFill="1" applyBorder="1" applyAlignment="1">
      <alignment horizontal="center" vertical="center" wrapText="1"/>
    </xf>
    <xf numFmtId="43" fontId="83" fillId="0" borderId="0" xfId="77" applyFont="1" applyAlignment="1">
      <alignment vertical="center"/>
    </xf>
    <xf numFmtId="43" fontId="89" fillId="0" borderId="0" xfId="77" applyFont="1" applyAlignment="1">
      <alignment vertical="center"/>
    </xf>
    <xf numFmtId="43" fontId="142" fillId="0" borderId="0" xfId="0" applyNumberFormat="1" applyFont="1" applyAlignment="1">
      <alignment vertical="center"/>
    </xf>
    <xf numFmtId="43" fontId="143" fillId="0" borderId="0" xfId="0" applyNumberFormat="1" applyFont="1" applyAlignment="1">
      <alignment vertical="center"/>
    </xf>
    <xf numFmtId="166" fontId="28" fillId="0" borderId="23" xfId="77" applyNumberFormat="1" applyFont="1" applyFill="1" applyBorder="1" applyAlignment="1">
      <alignment horizontal="center" vertical="center" wrapText="1"/>
    </xf>
    <xf numFmtId="166" fontId="28" fillId="0" borderId="23" xfId="77" applyNumberFormat="1" applyFont="1" applyFill="1" applyBorder="1" applyAlignment="1">
      <alignment horizontal="right" vertical="center" wrapText="1"/>
    </xf>
    <xf numFmtId="0" fontId="30" fillId="0" borderId="0" xfId="153" applyFont="1" applyFill="1" applyAlignment="1">
      <alignment vertical="center"/>
    </xf>
    <xf numFmtId="4" fontId="30" fillId="0" borderId="29" xfId="153" applyNumberFormat="1" applyFont="1" applyFill="1" applyBorder="1" applyAlignment="1">
      <alignment horizontal="right" vertical="center"/>
    </xf>
    <xf numFmtId="166" fontId="91" fillId="34" borderId="14" xfId="368" applyNumberFormat="1" applyFont="1" applyFill="1" applyBorder="1" applyAlignment="1">
      <alignment vertical="center"/>
    </xf>
    <xf numFmtId="0" fontId="28" fillId="0" borderId="14" xfId="369" applyFont="1" applyFill="1" applyBorder="1" applyAlignment="1">
      <alignment vertical="center" wrapText="1"/>
    </xf>
    <xf numFmtId="0" fontId="82" fillId="0" borderId="14" xfId="368" applyFont="1" applyFill="1" applyBorder="1" applyAlignment="1">
      <alignment horizontal="right" vertical="center"/>
    </xf>
    <xf numFmtId="0" fontId="82" fillId="0" borderId="73" xfId="368" applyFont="1" applyFill="1" applyBorder="1" applyAlignment="1">
      <alignment horizontal="right" vertical="center"/>
    </xf>
    <xf numFmtId="0" fontId="30" fillId="0" borderId="14" xfId="0" applyFont="1" applyFill="1" applyBorder="1" applyAlignment="1">
      <alignment horizontal="center" vertical="center" wrapText="1"/>
    </xf>
    <xf numFmtId="0" fontId="148" fillId="0" borderId="0" xfId="0" applyFont="1"/>
    <xf numFmtId="0" fontId="30" fillId="0" borderId="14" xfId="0" applyFont="1" applyFill="1" applyBorder="1" applyAlignment="1">
      <alignment horizontal="center" wrapText="1"/>
    </xf>
    <xf numFmtId="184" fontId="28" fillId="0" borderId="14" xfId="77" applyNumberFormat="1" applyFont="1" applyBorder="1" applyAlignment="1">
      <alignment horizontal="right" vertical="center"/>
    </xf>
    <xf numFmtId="184" fontId="28" fillId="0" borderId="0" xfId="77" applyNumberFormat="1" applyFont="1"/>
    <xf numFmtId="0" fontId="30" fillId="0" borderId="15"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28" xfId="0" applyFont="1" applyFill="1" applyBorder="1" applyAlignment="1">
      <alignment vertical="center" wrapText="1"/>
    </xf>
    <xf numFmtId="3" fontId="28" fillId="0" borderId="28" xfId="0" applyNumberFormat="1" applyFont="1" applyFill="1" applyBorder="1" applyAlignment="1">
      <alignment horizontal="right" vertical="center" wrapText="1"/>
    </xf>
    <xf numFmtId="3" fontId="28" fillId="0" borderId="28" xfId="428" applyNumberFormat="1" applyFont="1" applyFill="1" applyBorder="1" applyAlignment="1">
      <alignment horizontal="right" vertical="center" wrapText="1"/>
    </xf>
    <xf numFmtId="4" fontId="28" fillId="0" borderId="28" xfId="428" applyNumberFormat="1" applyFont="1" applyFill="1" applyBorder="1" applyAlignment="1">
      <alignment horizontal="right" vertical="center" wrapText="1"/>
    </xf>
    <xf numFmtId="3" fontId="30" fillId="0" borderId="28" xfId="0" applyNumberFormat="1" applyFont="1" applyFill="1" applyBorder="1" applyAlignment="1">
      <alignment horizontal="right" vertical="center" wrapText="1"/>
    </xf>
    <xf numFmtId="0" fontId="28" fillId="0" borderId="23" xfId="0" applyFont="1" applyFill="1" applyBorder="1" applyAlignment="1">
      <alignment vertical="center" wrapText="1"/>
    </xf>
    <xf numFmtId="3" fontId="28" fillId="0" borderId="23" xfId="0" applyNumberFormat="1" applyFont="1" applyFill="1" applyBorder="1" applyAlignment="1">
      <alignment horizontal="right" vertical="center" wrapText="1"/>
    </xf>
    <xf numFmtId="3" fontId="28" fillId="0" borderId="23" xfId="428" applyNumberFormat="1" applyFont="1" applyFill="1" applyBorder="1" applyAlignment="1">
      <alignment horizontal="right" vertical="center" wrapText="1"/>
    </xf>
    <xf numFmtId="4" fontId="28" fillId="0" borderId="23" xfId="428" applyNumberFormat="1" applyFont="1" applyFill="1" applyBorder="1" applyAlignment="1">
      <alignment horizontal="right" vertical="center" wrapText="1"/>
    </xf>
    <xf numFmtId="3" fontId="30" fillId="0" borderId="23" xfId="0" applyNumberFormat="1" applyFont="1" applyFill="1" applyBorder="1" applyAlignment="1">
      <alignment horizontal="right" vertical="center" wrapText="1"/>
    </xf>
    <xf numFmtId="0" fontId="28" fillId="0" borderId="23" xfId="0" applyFont="1" applyFill="1" applyBorder="1" applyAlignment="1">
      <alignment horizontal="left" vertical="center" wrapText="1"/>
    </xf>
    <xf numFmtId="0" fontId="107" fillId="0" borderId="23" xfId="0" applyFont="1" applyFill="1" applyBorder="1" applyAlignment="1">
      <alignment vertical="center" wrapText="1"/>
    </xf>
    <xf numFmtId="3" fontId="107" fillId="0" borderId="23" xfId="0" applyNumberFormat="1" applyFont="1" applyFill="1" applyBorder="1" applyAlignment="1">
      <alignment horizontal="right" vertical="center" wrapText="1"/>
    </xf>
    <xf numFmtId="0" fontId="107" fillId="0" borderId="23" xfId="0" applyFont="1" applyFill="1" applyBorder="1" applyAlignment="1">
      <alignment horizontal="left" vertical="center" wrapText="1"/>
    </xf>
    <xf numFmtId="0" fontId="28" fillId="0" borderId="38" xfId="0" applyFont="1" applyFill="1" applyBorder="1" applyAlignment="1">
      <alignment horizontal="left" vertical="center" wrapText="1"/>
    </xf>
    <xf numFmtId="3" fontId="28" fillId="0" borderId="38" xfId="428" applyNumberFormat="1" applyFont="1" applyFill="1" applyBorder="1" applyAlignment="1">
      <alignment horizontal="right" vertical="center" wrapText="1"/>
    </xf>
    <xf numFmtId="4" fontId="28" fillId="0" borderId="38" xfId="428" applyNumberFormat="1" applyFont="1" applyFill="1" applyBorder="1" applyAlignment="1">
      <alignment horizontal="right" vertical="center" wrapText="1"/>
    </xf>
    <xf numFmtId="3" fontId="30" fillId="0" borderId="38" xfId="0" applyNumberFormat="1" applyFont="1" applyFill="1" applyBorder="1" applyAlignment="1">
      <alignment horizontal="right" vertical="center" wrapText="1"/>
    </xf>
    <xf numFmtId="0" fontId="28" fillId="0" borderId="25" xfId="0" applyFont="1" applyFill="1" applyBorder="1" applyAlignment="1">
      <alignment vertical="center"/>
    </xf>
    <xf numFmtId="3" fontId="28" fillId="0" borderId="25" xfId="0" applyNumberFormat="1" applyFont="1" applyFill="1" applyBorder="1" applyAlignment="1">
      <alignment horizontal="center" vertical="center"/>
    </xf>
    <xf numFmtId="3" fontId="30" fillId="0" borderId="14" xfId="0" applyNumberFormat="1" applyFont="1" applyFill="1" applyBorder="1" applyAlignment="1">
      <alignment horizontal="right" vertical="center"/>
    </xf>
    <xf numFmtId="3" fontId="0" fillId="0" borderId="0" xfId="0" applyNumberFormat="1"/>
    <xf numFmtId="43" fontId="0" fillId="0" borderId="0" xfId="77" applyFont="1"/>
    <xf numFmtId="2" fontId="28" fillId="0" borderId="14" xfId="0" applyNumberFormat="1" applyFont="1" applyBorder="1"/>
    <xf numFmtId="2" fontId="28" fillId="0" borderId="16" xfId="0" applyNumberFormat="1" applyFont="1" applyFill="1" applyBorder="1"/>
    <xf numFmtId="4" fontId="28" fillId="0" borderId="23" xfId="0" applyNumberFormat="1" applyFont="1" applyFill="1" applyBorder="1" applyAlignment="1">
      <alignment horizontal="center" vertical="center" wrapText="1"/>
    </xf>
    <xf numFmtId="0" fontId="107" fillId="0" borderId="23" xfId="0" applyFont="1" applyFill="1" applyBorder="1" applyAlignment="1">
      <alignment horizontal="justify" vertical="center" wrapText="1"/>
    </xf>
    <xf numFmtId="0" fontId="30" fillId="0" borderId="38" xfId="0" applyFont="1" applyFill="1" applyBorder="1" applyAlignment="1">
      <alignment horizontal="center" vertical="center" wrapText="1"/>
    </xf>
    <xf numFmtId="0" fontId="30" fillId="0" borderId="38" xfId="0" applyFont="1" applyFill="1" applyBorder="1" applyAlignment="1">
      <alignment horizontal="justify" vertical="center" wrapText="1"/>
    </xf>
    <xf numFmtId="4" fontId="28" fillId="0" borderId="38" xfId="0" applyNumberFormat="1" applyFont="1" applyFill="1" applyBorder="1" applyAlignment="1">
      <alignment horizontal="center" vertical="center" wrapText="1"/>
    </xf>
    <xf numFmtId="0" fontId="30" fillId="0" borderId="47" xfId="0" applyFont="1" applyFill="1" applyBorder="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28" fillId="0" borderId="0" xfId="0" applyFont="1" applyFill="1" applyAlignment="1">
      <alignment vertical="center"/>
    </xf>
    <xf numFmtId="0" fontId="28" fillId="0" borderId="28" xfId="0" applyFont="1" applyFill="1" applyBorder="1" applyAlignment="1">
      <alignment horizontal="left" vertical="center" wrapText="1"/>
    </xf>
    <xf numFmtId="0" fontId="107" fillId="0" borderId="28" xfId="0" applyFont="1" applyFill="1" applyBorder="1" applyAlignment="1">
      <alignment horizontal="center" vertical="center" wrapText="1"/>
    </xf>
    <xf numFmtId="3" fontId="107" fillId="0" borderId="28" xfId="0" applyNumberFormat="1" applyFont="1" applyFill="1" applyBorder="1" applyAlignment="1">
      <alignment horizontal="right" vertical="center" wrapText="1"/>
    </xf>
    <xf numFmtId="175" fontId="28" fillId="0" borderId="28" xfId="0" applyNumberFormat="1" applyFont="1" applyFill="1" applyBorder="1" applyAlignment="1">
      <alignment horizontal="center" vertical="center" wrapText="1"/>
    </xf>
    <xf numFmtId="3" fontId="28" fillId="0" borderId="28" xfId="0" applyNumberFormat="1" applyFont="1" applyFill="1" applyBorder="1" applyAlignment="1">
      <alignment horizontal="right" vertical="center"/>
    </xf>
    <xf numFmtId="174" fontId="28" fillId="0" borderId="47" xfId="0" applyNumberFormat="1" applyFont="1" applyFill="1" applyBorder="1" applyAlignment="1">
      <alignment horizontal="center" vertical="center" wrapText="1"/>
    </xf>
    <xf numFmtId="174" fontId="28" fillId="0" borderId="0" xfId="0" applyNumberFormat="1" applyFont="1" applyFill="1" applyBorder="1" applyAlignment="1">
      <alignment horizontal="center" vertical="center" wrapText="1"/>
    </xf>
    <xf numFmtId="175" fontId="28" fillId="0" borderId="23" xfId="0" applyNumberFormat="1" applyFont="1" applyFill="1" applyBorder="1" applyAlignment="1">
      <alignment horizontal="center" vertical="center" wrapText="1"/>
    </xf>
    <xf numFmtId="3" fontId="28" fillId="0" borderId="23" xfId="0" applyNumberFormat="1" applyFont="1" applyFill="1" applyBorder="1" applyAlignment="1">
      <alignment horizontal="right" vertical="center"/>
    </xf>
    <xf numFmtId="0" fontId="28" fillId="0" borderId="52" xfId="0" applyFont="1" applyFill="1" applyBorder="1" applyAlignment="1">
      <alignment horizontal="left" vertical="center" wrapText="1"/>
    </xf>
    <xf numFmtId="3" fontId="28" fillId="0" borderId="52" xfId="0" applyNumberFormat="1" applyFont="1" applyFill="1" applyBorder="1" applyAlignment="1">
      <alignment horizontal="right" vertical="center" wrapText="1"/>
    </xf>
    <xf numFmtId="4" fontId="28" fillId="0" borderId="52" xfId="0" applyNumberFormat="1" applyFont="1" applyFill="1" applyBorder="1" applyAlignment="1">
      <alignment horizontal="center" vertical="center" wrapText="1"/>
    </xf>
    <xf numFmtId="0" fontId="107" fillId="0" borderId="38" xfId="0" applyFont="1" applyFill="1" applyBorder="1" applyAlignment="1">
      <alignment horizontal="left" vertical="center" wrapText="1"/>
    </xf>
    <xf numFmtId="3" fontId="107" fillId="0" borderId="38" xfId="0" applyNumberFormat="1" applyFont="1" applyFill="1" applyBorder="1" applyAlignment="1">
      <alignment horizontal="right" vertical="center" wrapText="1"/>
    </xf>
    <xf numFmtId="0" fontId="28" fillId="0" borderId="14" xfId="0" applyFont="1" applyFill="1" applyBorder="1" applyAlignment="1">
      <alignment vertical="center"/>
    </xf>
    <xf numFmtId="0" fontId="30" fillId="0" borderId="14" xfId="0" applyFont="1" applyFill="1" applyBorder="1" applyAlignment="1">
      <alignment vertical="center"/>
    </xf>
    <xf numFmtId="3" fontId="30" fillId="0" borderId="14" xfId="428" applyNumberFormat="1" applyFont="1" applyFill="1" applyBorder="1" applyAlignment="1">
      <alignment horizontal="right" vertical="center"/>
    </xf>
    <xf numFmtId="174" fontId="30" fillId="0" borderId="0" xfId="428" applyNumberFormat="1" applyFont="1" applyFill="1" applyBorder="1" applyAlignment="1">
      <alignment horizontal="center" vertical="center"/>
    </xf>
    <xf numFmtId="3" fontId="30" fillId="0" borderId="0" xfId="428" applyNumberFormat="1" applyFont="1" applyFill="1" applyBorder="1" applyAlignment="1">
      <alignment horizontal="center" vertical="center"/>
    </xf>
    <xf numFmtId="43" fontId="30" fillId="28" borderId="0" xfId="77" applyNumberFormat="1" applyFont="1" applyFill="1"/>
    <xf numFmtId="0" fontId="30" fillId="28" borderId="47" xfId="0" applyFont="1" applyFill="1" applyBorder="1" applyAlignment="1">
      <alignment horizontal="center" vertical="center" wrapText="1"/>
    </xf>
    <xf numFmtId="3" fontId="28" fillId="28" borderId="28" xfId="0" applyNumberFormat="1" applyFont="1" applyFill="1" applyBorder="1" applyAlignment="1">
      <alignment horizontal="right" vertical="center" wrapText="1"/>
    </xf>
    <xf numFmtId="3" fontId="28" fillId="28" borderId="23" xfId="0" applyNumberFormat="1" applyFont="1" applyFill="1" applyBorder="1" applyAlignment="1">
      <alignment horizontal="right" vertical="center" wrapText="1"/>
    </xf>
    <xf numFmtId="3" fontId="107" fillId="28" borderId="23" xfId="0" applyNumberFormat="1" applyFont="1" applyFill="1" applyBorder="1" applyAlignment="1">
      <alignment horizontal="right" vertical="center" wrapText="1"/>
    </xf>
    <xf numFmtId="0" fontId="0" fillId="0" borderId="0" xfId="0" applyFill="1"/>
    <xf numFmtId="49" fontId="91" fillId="0" borderId="14" xfId="0" applyNumberFormat="1" applyFont="1" applyFill="1" applyBorder="1" applyAlignment="1">
      <alignment horizontal="center" vertical="center" wrapText="1"/>
    </xf>
    <xf numFmtId="49" fontId="82" fillId="0" borderId="14" xfId="0" applyNumberFormat="1" applyFont="1" applyFill="1" applyBorder="1" applyAlignment="1">
      <alignment horizontal="center" vertical="center" wrapText="1"/>
    </xf>
    <xf numFmtId="0" fontId="113" fillId="0" borderId="14" xfId="0" applyFont="1" applyFill="1" applyBorder="1" applyAlignment="1">
      <alignment horizontal="center" vertical="center" wrapText="1"/>
    </xf>
    <xf numFmtId="0" fontId="149" fillId="0" borderId="0" xfId="0" applyFont="1"/>
    <xf numFmtId="0" fontId="113" fillId="0" borderId="25" xfId="0" applyFont="1" applyFill="1" applyBorder="1" applyAlignment="1">
      <alignment horizontal="center" vertical="center" wrapText="1"/>
    </xf>
    <xf numFmtId="0" fontId="35" fillId="0" borderId="67" xfId="0" applyFont="1" applyFill="1" applyBorder="1" applyAlignment="1">
      <alignment vertical="center" wrapText="1"/>
    </xf>
    <xf numFmtId="174" fontId="91" fillId="0" borderId="14" xfId="0" applyNumberFormat="1" applyFont="1" applyFill="1" applyBorder="1" applyAlignment="1">
      <alignment horizontal="center" vertical="center" wrapText="1"/>
    </xf>
    <xf numFmtId="3" fontId="91" fillId="0" borderId="14" xfId="0" applyNumberFormat="1" applyFont="1" applyFill="1" applyBorder="1" applyAlignment="1">
      <alignment horizontal="center" vertical="center" wrapText="1"/>
    </xf>
    <xf numFmtId="4" fontId="91" fillId="0" borderId="14" xfId="0" applyNumberFormat="1" applyFont="1" applyFill="1" applyBorder="1" applyAlignment="1">
      <alignment horizontal="center" vertical="center" wrapText="1"/>
    </xf>
    <xf numFmtId="0" fontId="91" fillId="0" borderId="14" xfId="0" applyFont="1" applyFill="1" applyBorder="1" applyAlignment="1">
      <alignment vertical="center" wrapText="1"/>
    </xf>
    <xf numFmtId="3" fontId="82" fillId="0" borderId="14" xfId="0" applyNumberFormat="1" applyFont="1" applyFill="1" applyBorder="1" applyAlignment="1">
      <alignment vertical="center"/>
    </xf>
    <xf numFmtId="4" fontId="82" fillId="0" borderId="14" xfId="0" applyNumberFormat="1" applyFont="1" applyFill="1" applyBorder="1" applyAlignment="1">
      <alignment vertical="center"/>
    </xf>
    <xf numFmtId="0" fontId="92" fillId="0" borderId="14" xfId="0" applyFont="1" applyFill="1" applyBorder="1" applyAlignment="1">
      <alignment vertical="center" wrapText="1"/>
    </xf>
    <xf numFmtId="4" fontId="96" fillId="0" borderId="14" xfId="0" applyNumberFormat="1" applyFont="1" applyFill="1" applyBorder="1" applyAlignment="1">
      <alignment vertical="center"/>
    </xf>
    <xf numFmtId="0" fontId="113" fillId="0" borderId="14" xfId="0" applyFont="1" applyFill="1" applyBorder="1" applyAlignment="1">
      <alignment vertical="center" wrapText="1"/>
    </xf>
    <xf numFmtId="0" fontId="82" fillId="0" borderId="14" xfId="0" applyFont="1" applyFill="1" applyBorder="1" applyAlignment="1">
      <alignment vertical="center" wrapText="1"/>
    </xf>
    <xf numFmtId="166" fontId="82" fillId="0" borderId="14" xfId="77" applyNumberFormat="1" applyFont="1" applyFill="1" applyBorder="1" applyAlignment="1">
      <alignment vertical="center" wrapText="1"/>
    </xf>
    <xf numFmtId="0" fontId="82" fillId="0" borderId="14" xfId="0" applyFont="1" applyFill="1" applyBorder="1"/>
    <xf numFmtId="0" fontId="82" fillId="0" borderId="14" xfId="0" applyFont="1" applyFill="1" applyBorder="1" applyAlignment="1">
      <alignment wrapText="1"/>
    </xf>
    <xf numFmtId="0" fontId="0" fillId="0" borderId="0" xfId="0" applyAlignment="1">
      <alignment horizontal="center" vertical="center"/>
    </xf>
    <xf numFmtId="43" fontId="82" fillId="0" borderId="14" xfId="77" applyFont="1" applyFill="1" applyBorder="1" applyAlignment="1">
      <alignment horizontal="center" vertical="center" wrapText="1"/>
    </xf>
    <xf numFmtId="0" fontId="35" fillId="0" borderId="60" xfId="0" applyFont="1" applyFill="1" applyBorder="1" applyAlignment="1">
      <alignment horizontal="center" vertical="center" wrapText="1"/>
    </xf>
    <xf numFmtId="43" fontId="91" fillId="0" borderId="14" xfId="77" applyFont="1" applyFill="1" applyBorder="1" applyAlignment="1">
      <alignment horizontal="center" vertical="center" wrapText="1"/>
    </xf>
    <xf numFmtId="4" fontId="91" fillId="0" borderId="14" xfId="0" applyNumberFormat="1" applyFont="1" applyFill="1" applyBorder="1" applyAlignment="1">
      <alignment vertical="center"/>
    </xf>
    <xf numFmtId="184" fontId="82" fillId="0" borderId="14" xfId="77" applyNumberFormat="1" applyFont="1" applyFill="1" applyBorder="1" applyAlignment="1">
      <alignment horizontal="center" vertical="center" wrapText="1"/>
    </xf>
    <xf numFmtId="185" fontId="82" fillId="0" borderId="14" xfId="77" applyNumberFormat="1" applyFont="1" applyFill="1" applyBorder="1" applyAlignment="1">
      <alignment horizontal="center" vertical="center" wrapText="1"/>
    </xf>
    <xf numFmtId="3" fontId="82" fillId="0" borderId="14" xfId="0" applyNumberFormat="1" applyFont="1" applyFill="1" applyBorder="1"/>
    <xf numFmtId="0" fontId="113" fillId="0" borderId="60" xfId="0" applyFont="1" applyFill="1" applyBorder="1" applyAlignment="1">
      <alignment horizontal="center" vertical="center" wrapText="1"/>
    </xf>
    <xf numFmtId="49" fontId="82" fillId="0" borderId="14" xfId="77"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justify" vertical="center" wrapText="1"/>
    </xf>
    <xf numFmtId="49" fontId="28" fillId="0" borderId="14" xfId="0" applyNumberFormat="1" applyFont="1" applyBorder="1" applyAlignment="1">
      <alignment horizontal="right" vertical="center"/>
    </xf>
    <xf numFmtId="167" fontId="30" fillId="29" borderId="14" xfId="0" applyNumberFormat="1" applyFont="1" applyFill="1" applyBorder="1" applyAlignment="1">
      <alignment horizontal="right" vertical="center"/>
    </xf>
    <xf numFmtId="0" fontId="30" fillId="28" borderId="41" xfId="0" applyFont="1" applyFill="1" applyBorder="1" applyAlignment="1">
      <alignment horizontal="center" vertical="center" wrapText="1"/>
    </xf>
    <xf numFmtId="167" fontId="30" fillId="28" borderId="14" xfId="0" applyNumberFormat="1" applyFont="1" applyFill="1" applyBorder="1" applyAlignment="1">
      <alignment horizontal="right" vertical="center"/>
    </xf>
    <xf numFmtId="43" fontId="30" fillId="28" borderId="14" xfId="77" applyNumberFormat="1" applyFont="1" applyFill="1" applyBorder="1" applyAlignment="1">
      <alignment vertical="center"/>
    </xf>
    <xf numFmtId="2" fontId="30" fillId="29" borderId="14" xfId="0" applyNumberFormat="1" applyFont="1" applyFill="1" applyBorder="1" applyAlignment="1">
      <alignment horizontal="right" vertical="center"/>
    </xf>
    <xf numFmtId="43" fontId="28" fillId="28" borderId="14" xfId="77" applyNumberFormat="1" applyFont="1" applyFill="1" applyBorder="1" applyAlignment="1">
      <alignment horizontal="right" vertical="center"/>
    </xf>
    <xf numFmtId="2" fontId="30" fillId="28" borderId="14" xfId="0" applyNumberFormat="1" applyFont="1" applyFill="1" applyBorder="1" applyAlignment="1">
      <alignment horizontal="right" vertical="center"/>
    </xf>
    <xf numFmtId="166" fontId="30" fillId="0" borderId="14" xfId="79" applyNumberFormat="1" applyFont="1" applyFill="1" applyBorder="1" applyAlignment="1">
      <alignment horizontal="center" vertical="center" wrapText="1"/>
    </xf>
    <xf numFmtId="0" fontId="30" fillId="0" borderId="14" xfId="153" applyFont="1" applyFill="1" applyBorder="1" applyAlignment="1">
      <alignment horizontal="left" vertical="center" wrapText="1"/>
    </xf>
    <xf numFmtId="9" fontId="28" fillId="0" borderId="14" xfId="153" applyNumberFormat="1" applyFont="1" applyFill="1" applyBorder="1" applyAlignment="1">
      <alignment horizontal="center" vertical="center" wrapText="1"/>
    </xf>
    <xf numFmtId="0" fontId="35" fillId="0" borderId="14" xfId="153" applyFont="1" applyFill="1" applyBorder="1" applyAlignment="1">
      <alignment horizontal="left" vertical="center" wrapText="1"/>
    </xf>
    <xf numFmtId="184" fontId="30" fillId="0" borderId="14" xfId="79" applyNumberFormat="1" applyFont="1" applyFill="1" applyBorder="1" applyAlignment="1">
      <alignment horizontal="right" vertical="center" wrapText="1"/>
    </xf>
    <xf numFmtId="166" fontId="28" fillId="0" borderId="14" xfId="79" applyNumberFormat="1" applyFont="1" applyFill="1" applyBorder="1" applyAlignment="1">
      <alignment horizontal="center" vertical="center" wrapText="1"/>
    </xf>
    <xf numFmtId="49" fontId="30" fillId="0" borderId="14" xfId="153" applyNumberFormat="1" applyFont="1" applyFill="1" applyBorder="1" applyAlignment="1">
      <alignment horizontal="justify" vertical="center" wrapText="1"/>
    </xf>
    <xf numFmtId="49" fontId="35" fillId="0" borderId="14" xfId="153" applyNumberFormat="1" applyFont="1" applyFill="1" applyBorder="1" applyAlignment="1">
      <alignment horizontal="justify" vertical="center" wrapText="1"/>
    </xf>
    <xf numFmtId="166" fontId="28" fillId="0" borderId="14" xfId="77"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4" fontId="30" fillId="0" borderId="0" xfId="0" applyNumberFormat="1" applyFont="1" applyFill="1" applyBorder="1" applyAlignment="1">
      <alignment horizontal="center" vertical="center" wrapText="1"/>
    </xf>
    <xf numFmtId="167" fontId="30" fillId="0" borderId="0" xfId="0" applyNumberFormat="1" applyFont="1" applyFill="1" applyBorder="1" applyAlignment="1">
      <alignment horizontal="right" vertical="center"/>
    </xf>
    <xf numFmtId="43" fontId="30" fillId="0" borderId="0" xfId="77" applyNumberFormat="1" applyFont="1" applyFill="1" applyBorder="1" applyAlignment="1">
      <alignment vertical="center"/>
    </xf>
    <xf numFmtId="167" fontId="28" fillId="0" borderId="0" xfId="0" applyNumberFormat="1" applyFont="1" applyFill="1" applyBorder="1" applyAlignment="1">
      <alignment horizontal="right" vertical="center"/>
    </xf>
    <xf numFmtId="43" fontId="28" fillId="0" borderId="0" xfId="77" applyNumberFormat="1" applyFont="1" applyFill="1" applyBorder="1" applyAlignment="1">
      <alignment vertical="center"/>
    </xf>
    <xf numFmtId="43" fontId="28" fillId="0" borderId="0" xfId="77" applyNumberFormat="1" applyFont="1" applyFill="1" applyBorder="1" applyAlignment="1">
      <alignment horizontal="right" vertical="center"/>
    </xf>
    <xf numFmtId="2" fontId="30" fillId="0" borderId="0" xfId="0" applyNumberFormat="1" applyFont="1" applyFill="1" applyBorder="1" applyAlignment="1">
      <alignment horizontal="right" vertical="center"/>
    </xf>
    <xf numFmtId="166" fontId="28" fillId="28" borderId="14" xfId="77" applyNumberFormat="1" applyFont="1" applyFill="1" applyBorder="1" applyAlignment="1">
      <alignment horizontal="right" vertical="center"/>
    </xf>
    <xf numFmtId="166" fontId="30" fillId="29" borderId="14" xfId="77" applyNumberFormat="1" applyFont="1" applyFill="1" applyBorder="1" applyAlignment="1">
      <alignment horizontal="right" vertical="center"/>
    </xf>
    <xf numFmtId="0" fontId="28" fillId="0" borderId="60" xfId="0" applyFont="1" applyFill="1" applyBorder="1" applyAlignment="1">
      <alignment horizontal="center" vertical="center" wrapText="1"/>
    </xf>
    <xf numFmtId="0" fontId="28" fillId="0" borderId="0" xfId="368" applyFont="1" applyFill="1" applyAlignment="1">
      <alignment vertical="center"/>
    </xf>
    <xf numFmtId="0" fontId="30" fillId="0" borderId="0" xfId="368" applyFont="1" applyFill="1" applyBorder="1" applyAlignment="1">
      <alignment horizontal="center" vertical="center" wrapText="1"/>
    </xf>
    <xf numFmtId="0" fontId="30" fillId="0" borderId="18" xfId="368" applyFont="1" applyFill="1" applyBorder="1" applyAlignment="1">
      <alignment horizontal="center" vertical="center" wrapText="1"/>
    </xf>
    <xf numFmtId="0" fontId="28" fillId="0" borderId="0" xfId="368" applyFont="1" applyFill="1" applyAlignment="1">
      <alignment vertical="center" wrapText="1"/>
    </xf>
    <xf numFmtId="0" fontId="30" fillId="0" borderId="16" xfId="368" applyFont="1" applyFill="1" applyBorder="1" applyAlignment="1">
      <alignment horizontal="center" vertical="center" wrapText="1"/>
    </xf>
    <xf numFmtId="0" fontId="30" fillId="27" borderId="14" xfId="368" applyFont="1" applyFill="1" applyBorder="1" applyAlignment="1">
      <alignment horizontal="center" vertical="center" wrapText="1"/>
    </xf>
    <xf numFmtId="0" fontId="30" fillId="0" borderId="14" xfId="368" applyFont="1" applyFill="1" applyBorder="1" applyAlignment="1">
      <alignment horizontal="center" vertical="center" wrapText="1"/>
    </xf>
    <xf numFmtId="16" fontId="30" fillId="0" borderId="14" xfId="368" applyNumberFormat="1" applyFont="1" applyFill="1" applyBorder="1" applyAlignment="1">
      <alignment vertical="center" wrapText="1"/>
    </xf>
    <xf numFmtId="0" fontId="30" fillId="0" borderId="25" xfId="368" applyFont="1" applyFill="1" applyBorder="1" applyAlignment="1">
      <alignment vertical="center" wrapText="1"/>
    </xf>
    <xf numFmtId="0" fontId="30" fillId="0" borderId="25" xfId="368" applyFont="1" applyFill="1" applyBorder="1" applyAlignment="1">
      <alignment horizontal="center" vertical="center" wrapText="1"/>
    </xf>
    <xf numFmtId="0" fontId="30" fillId="0" borderId="14" xfId="368" applyFont="1" applyFill="1" applyBorder="1" applyAlignment="1">
      <alignment horizontal="center" vertical="center"/>
    </xf>
    <xf numFmtId="9" fontId="30" fillId="0" borderId="14" xfId="368" applyNumberFormat="1" applyFont="1" applyFill="1" applyBorder="1" applyAlignment="1">
      <alignment horizontal="center" vertical="center"/>
    </xf>
    <xf numFmtId="49" fontId="32" fillId="0" borderId="26" xfId="368" applyNumberFormat="1" applyFont="1" applyFill="1" applyBorder="1" applyAlignment="1">
      <alignment horizontal="center" vertical="center"/>
    </xf>
    <xf numFmtId="49" fontId="32" fillId="27" borderId="14" xfId="368" applyNumberFormat="1" applyFont="1" applyFill="1" applyBorder="1" applyAlignment="1">
      <alignment horizontal="center" vertical="center" wrapText="1"/>
    </xf>
    <xf numFmtId="49" fontId="32" fillId="0" borderId="14" xfId="368" applyNumberFormat="1" applyFont="1" applyFill="1" applyBorder="1" applyAlignment="1">
      <alignment horizontal="center" vertical="center" wrapText="1"/>
    </xf>
    <xf numFmtId="49" fontId="32" fillId="0" borderId="14" xfId="368" applyNumberFormat="1" applyFont="1" applyFill="1" applyBorder="1" applyAlignment="1">
      <alignment horizontal="center" vertical="center"/>
    </xf>
    <xf numFmtId="0" fontId="30" fillId="0" borderId="26" xfId="368" applyFont="1" applyFill="1" applyBorder="1" applyAlignment="1">
      <alignment horizontal="center" vertical="center"/>
    </xf>
    <xf numFmtId="166" fontId="30" fillId="0" borderId="14" xfId="368" applyNumberFormat="1" applyFont="1" applyFill="1" applyBorder="1" applyAlignment="1">
      <alignment horizontal="center" vertical="center"/>
    </xf>
    <xf numFmtId="43" fontId="28" fillId="0" borderId="0" xfId="77" applyFont="1" applyFill="1" applyAlignment="1">
      <alignment vertical="center"/>
    </xf>
    <xf numFmtId="166" fontId="30" fillId="0" borderId="14" xfId="77" applyNumberFormat="1" applyFont="1" applyFill="1" applyBorder="1" applyAlignment="1">
      <alignment vertical="center"/>
    </xf>
    <xf numFmtId="166" fontId="91" fillId="0" borderId="14" xfId="77" applyNumberFormat="1" applyFont="1" applyFill="1" applyBorder="1" applyAlignment="1">
      <alignment vertical="center"/>
    </xf>
    <xf numFmtId="0" fontId="30" fillId="27" borderId="14" xfId="368" applyFont="1" applyFill="1" applyBorder="1" applyAlignment="1">
      <alignment horizontal="center" vertical="center"/>
    </xf>
    <xf numFmtId="166" fontId="30" fillId="0" borderId="14" xfId="77" applyNumberFormat="1" applyFont="1" applyFill="1" applyBorder="1" applyAlignment="1">
      <alignment horizontal="center" vertical="center"/>
    </xf>
    <xf numFmtId="166" fontId="91" fillId="0" borderId="14" xfId="77" applyNumberFormat="1" applyFont="1" applyFill="1" applyBorder="1" applyAlignment="1">
      <alignment horizontal="center" vertical="center"/>
    </xf>
    <xf numFmtId="10" fontId="30" fillId="0" borderId="14" xfId="166" applyNumberFormat="1" applyFont="1" applyFill="1" applyBorder="1" applyAlignment="1">
      <alignment horizontal="center" vertical="center"/>
    </xf>
    <xf numFmtId="0" fontId="30" fillId="0" borderId="0" xfId="368" applyFont="1" applyFill="1" applyAlignment="1">
      <alignment vertical="center"/>
    </xf>
    <xf numFmtId="0" fontId="28" fillId="0" borderId="26" xfId="368" applyFont="1" applyFill="1" applyBorder="1" applyAlignment="1">
      <alignment horizontal="center" vertical="center"/>
    </xf>
    <xf numFmtId="0" fontId="28" fillId="27" borderId="14" xfId="369" applyFont="1" applyFill="1" applyBorder="1" applyAlignment="1">
      <alignment horizontal="center" vertical="center" wrapText="1"/>
    </xf>
    <xf numFmtId="166" fontId="28" fillId="0" borderId="14" xfId="432" applyNumberFormat="1" applyFont="1" applyFill="1" applyBorder="1" applyAlignment="1">
      <alignment horizontal="center" vertical="center" wrapText="1"/>
    </xf>
    <xf numFmtId="166" fontId="82" fillId="0" borderId="14" xfId="77" applyNumberFormat="1" applyFont="1" applyFill="1" applyBorder="1" applyAlignment="1">
      <alignment horizontal="center" vertical="center" wrapText="1"/>
    </xf>
    <xf numFmtId="166" fontId="107" fillId="0" borderId="14" xfId="432" applyNumberFormat="1" applyFont="1" applyFill="1" applyBorder="1" applyAlignment="1">
      <alignment vertical="center"/>
    </xf>
    <xf numFmtId="166" fontId="28" fillId="0" borderId="14" xfId="432" applyNumberFormat="1" applyFont="1" applyFill="1" applyBorder="1" applyAlignment="1">
      <alignment vertical="center"/>
    </xf>
    <xf numFmtId="166" fontId="30" fillId="0" borderId="14" xfId="432" applyNumberFormat="1" applyFont="1" applyFill="1" applyBorder="1" applyAlignment="1">
      <alignment horizontal="center" vertical="center"/>
    </xf>
    <xf numFmtId="3" fontId="28" fillId="0" borderId="14" xfId="433" applyNumberFormat="1" applyFont="1" applyFill="1" applyBorder="1" applyAlignment="1">
      <alignment vertical="center"/>
    </xf>
    <xf numFmtId="43" fontId="28" fillId="0" borderId="14" xfId="77" applyFont="1" applyFill="1" applyBorder="1" applyAlignment="1">
      <alignment vertical="center"/>
    </xf>
    <xf numFmtId="199" fontId="28" fillId="0" borderId="14" xfId="432" applyNumberFormat="1" applyFont="1" applyFill="1" applyBorder="1" applyAlignment="1">
      <alignment vertical="center"/>
    </xf>
    <xf numFmtId="43" fontId="28" fillId="26" borderId="0" xfId="77" applyFont="1" applyFill="1" applyAlignment="1">
      <alignment vertical="center"/>
    </xf>
    <xf numFmtId="43" fontId="28" fillId="26" borderId="0" xfId="368" applyNumberFormat="1" applyFont="1" applyFill="1" applyAlignment="1">
      <alignment vertical="center"/>
    </xf>
    <xf numFmtId="164" fontId="28" fillId="26" borderId="0" xfId="368" applyNumberFormat="1" applyFont="1" applyFill="1" applyAlignment="1">
      <alignment vertical="center"/>
    </xf>
    <xf numFmtId="166" fontId="28" fillId="0" borderId="0" xfId="77" applyNumberFormat="1" applyFont="1" applyFill="1" applyAlignment="1">
      <alignment vertical="center"/>
    </xf>
    <xf numFmtId="166" fontId="28" fillId="0" borderId="0" xfId="368" applyNumberFormat="1" applyFont="1" applyFill="1" applyAlignment="1">
      <alignment vertical="center"/>
    </xf>
    <xf numFmtId="0" fontId="28" fillId="0" borderId="14" xfId="368" applyFont="1" applyFill="1" applyBorder="1" applyAlignment="1">
      <alignment vertical="center"/>
    </xf>
    <xf numFmtId="0" fontId="145" fillId="0" borderId="26" xfId="368" applyFont="1" applyFill="1" applyBorder="1" applyAlignment="1">
      <alignment horizontal="center" vertical="center"/>
    </xf>
    <xf numFmtId="0" fontId="145" fillId="0" borderId="14" xfId="369" applyFont="1" applyFill="1" applyBorder="1" applyAlignment="1">
      <alignment vertical="center" wrapText="1"/>
    </xf>
    <xf numFmtId="0" fontId="145" fillId="27" borderId="14" xfId="369" applyFont="1" applyFill="1" applyBorder="1" applyAlignment="1">
      <alignment horizontal="center" vertical="center" wrapText="1"/>
    </xf>
    <xf numFmtId="166" fontId="145" fillId="0" borderId="14" xfId="432" applyNumberFormat="1" applyFont="1" applyFill="1" applyBorder="1" applyAlignment="1">
      <alignment horizontal="center" vertical="center" wrapText="1"/>
    </xf>
    <xf numFmtId="166" fontId="144" fillId="0" borderId="14" xfId="77" applyNumberFormat="1" applyFont="1" applyFill="1" applyBorder="1" applyAlignment="1">
      <alignment horizontal="center" vertical="center" wrapText="1"/>
    </xf>
    <xf numFmtId="166" fontId="145" fillId="0" borderId="14" xfId="432" applyNumberFormat="1" applyFont="1" applyFill="1" applyBorder="1" applyAlignment="1">
      <alignment vertical="center"/>
    </xf>
    <xf numFmtId="166" fontId="28" fillId="0" borderId="14" xfId="79" applyNumberFormat="1" applyFont="1" applyFill="1" applyBorder="1" applyAlignment="1">
      <alignment vertical="center"/>
    </xf>
    <xf numFmtId="0" fontId="145" fillId="0" borderId="0" xfId="368" applyFont="1" applyFill="1" applyAlignment="1">
      <alignment vertical="center"/>
    </xf>
    <xf numFmtId="3" fontId="28" fillId="0" borderId="14" xfId="433" applyNumberFormat="1" applyFont="1" applyFill="1" applyBorder="1" applyAlignment="1">
      <alignment vertical="center" wrapText="1"/>
    </xf>
    <xf numFmtId="3" fontId="30" fillId="0" borderId="14" xfId="433" applyNumberFormat="1" applyFont="1" applyFill="1" applyBorder="1" applyAlignment="1">
      <alignment horizontal="right" vertical="center" wrapText="1"/>
    </xf>
    <xf numFmtId="173" fontId="28" fillId="0" borderId="14" xfId="433" applyNumberFormat="1" applyFont="1" applyFill="1" applyBorder="1" applyAlignment="1">
      <alignment vertical="center" wrapText="1"/>
    </xf>
    <xf numFmtId="0" fontId="28" fillId="0" borderId="26" xfId="368" applyFont="1" applyFill="1" applyBorder="1" applyAlignment="1">
      <alignment vertical="center"/>
    </xf>
    <xf numFmtId="200" fontId="28" fillId="0" borderId="14" xfId="432" applyNumberFormat="1" applyFont="1" applyFill="1" applyBorder="1" applyAlignment="1">
      <alignment horizontal="center" vertical="center" wrapText="1"/>
    </xf>
    <xf numFmtId="200" fontId="28" fillId="0" borderId="14" xfId="79" applyNumberFormat="1" applyFont="1" applyFill="1" applyBorder="1" applyAlignment="1">
      <alignment horizontal="center" vertical="center" wrapText="1"/>
    </xf>
    <xf numFmtId="166" fontId="28" fillId="27" borderId="14" xfId="432" applyNumberFormat="1" applyFont="1" applyFill="1" applyBorder="1" applyAlignment="1">
      <alignment horizontal="center" vertical="center" wrapText="1"/>
    </xf>
    <xf numFmtId="166" fontId="28" fillId="0" borderId="16" xfId="432" applyNumberFormat="1" applyFont="1" applyFill="1" applyBorder="1" applyAlignment="1">
      <alignment horizontal="center" vertical="center" wrapText="1"/>
    </xf>
    <xf numFmtId="166" fontId="107" fillId="0" borderId="76" xfId="432" applyNumberFormat="1" applyFont="1" applyFill="1" applyBorder="1"/>
    <xf numFmtId="166" fontId="28" fillId="0" borderId="16" xfId="432" applyNumberFormat="1" applyFont="1" applyFill="1" applyBorder="1" applyAlignment="1">
      <alignment vertical="center"/>
    </xf>
    <xf numFmtId="166" fontId="64" fillId="0" borderId="76" xfId="432" applyNumberFormat="1" applyFont="1" applyFill="1" applyBorder="1"/>
    <xf numFmtId="166" fontId="107" fillId="0" borderId="11" xfId="432" applyNumberFormat="1" applyFont="1" applyFill="1" applyBorder="1"/>
    <xf numFmtId="166" fontId="64" fillId="0" borderId="11" xfId="432" applyNumberFormat="1" applyFont="1" applyFill="1" applyBorder="1"/>
    <xf numFmtId="166" fontId="107" fillId="0" borderId="14" xfId="79" applyNumberFormat="1" applyFont="1" applyFill="1" applyBorder="1" applyAlignment="1">
      <alignment vertical="center"/>
    </xf>
    <xf numFmtId="166" fontId="107" fillId="0" borderId="14" xfId="79" applyNumberFormat="1" applyFont="1" applyFill="1" applyBorder="1" applyAlignment="1">
      <alignment horizontal="center" vertical="center" wrapText="1"/>
    </xf>
    <xf numFmtId="166" fontId="28" fillId="0" borderId="14" xfId="432" applyNumberFormat="1" applyFont="1" applyFill="1" applyBorder="1" applyAlignment="1">
      <alignment wrapText="1"/>
    </xf>
    <xf numFmtId="166" fontId="28" fillId="0" borderId="23" xfId="432" applyNumberFormat="1" applyFont="1" applyFill="1" applyBorder="1" applyAlignment="1">
      <alignment horizontal="center"/>
    </xf>
    <xf numFmtId="166" fontId="82" fillId="0" borderId="14" xfId="77" applyNumberFormat="1" applyFont="1" applyFill="1" applyBorder="1" applyAlignment="1">
      <alignment horizontal="center" vertical="center"/>
    </xf>
    <xf numFmtId="3" fontId="28" fillId="0" borderId="14" xfId="436" applyNumberFormat="1" applyFont="1" applyFill="1" applyBorder="1" applyAlignment="1">
      <alignment horizontal="left" vertical="center"/>
    </xf>
    <xf numFmtId="3" fontId="28" fillId="27" borderId="14" xfId="436" applyNumberFormat="1" applyFont="1" applyFill="1" applyBorder="1" applyAlignment="1">
      <alignment horizontal="center" vertical="center"/>
    </xf>
    <xf numFmtId="166" fontId="28" fillId="0" borderId="14" xfId="432" applyNumberFormat="1" applyFont="1" applyFill="1" applyBorder="1" applyAlignment="1">
      <alignment horizontal="center" vertical="center"/>
    </xf>
    <xf numFmtId="199" fontId="28" fillId="0" borderId="14" xfId="272" applyNumberFormat="1" applyFont="1" applyFill="1" applyBorder="1" applyAlignment="1">
      <alignment horizontal="center" vertical="center"/>
    </xf>
    <xf numFmtId="0" fontId="107" fillId="0" borderId="26" xfId="368" applyFont="1" applyFill="1" applyBorder="1" applyAlignment="1">
      <alignment horizontal="center" vertical="center"/>
    </xf>
    <xf numFmtId="0" fontId="107" fillId="0" borderId="14" xfId="369" applyFont="1" applyFill="1" applyBorder="1" applyAlignment="1">
      <alignment vertical="center" wrapText="1"/>
    </xf>
    <xf numFmtId="0" fontId="107" fillId="27" borderId="14" xfId="369" applyFont="1" applyFill="1" applyBorder="1" applyAlignment="1">
      <alignment horizontal="center" vertical="center" wrapText="1"/>
    </xf>
    <xf numFmtId="166" fontId="107" fillId="0" borderId="14" xfId="432" applyNumberFormat="1" applyFont="1" applyFill="1" applyBorder="1" applyAlignment="1">
      <alignment horizontal="center" vertical="center" wrapText="1"/>
    </xf>
    <xf numFmtId="166" fontId="147" fillId="0" borderId="14" xfId="77" applyNumberFormat="1" applyFont="1" applyFill="1" applyBorder="1" applyAlignment="1">
      <alignment horizontal="center" vertical="center" wrapText="1"/>
    </xf>
    <xf numFmtId="166" fontId="153" fillId="0" borderId="14" xfId="432" applyNumberFormat="1" applyFont="1" applyFill="1" applyBorder="1" applyAlignment="1">
      <alignment horizontal="center" vertical="center"/>
    </xf>
    <xf numFmtId="0" fontId="107" fillId="0" borderId="0" xfId="368" applyFont="1" applyFill="1" applyAlignment="1">
      <alignment vertical="center"/>
    </xf>
    <xf numFmtId="166" fontId="107" fillId="0" borderId="16" xfId="432" applyNumberFormat="1" applyFont="1" applyFill="1" applyBorder="1" applyAlignment="1">
      <alignment vertical="center"/>
    </xf>
    <xf numFmtId="3" fontId="107" fillId="0" borderId="23" xfId="433" applyNumberFormat="1" applyFont="1" applyFill="1" applyBorder="1" applyAlignment="1">
      <alignment vertical="center" wrapText="1"/>
    </xf>
    <xf numFmtId="166" fontId="107" fillId="0" borderId="25" xfId="432" applyNumberFormat="1" applyFont="1" applyFill="1" applyBorder="1" applyAlignment="1">
      <alignment vertical="center"/>
    </xf>
    <xf numFmtId="3" fontId="107" fillId="0" borderId="38" xfId="433" applyNumberFormat="1" applyFont="1" applyFill="1" applyBorder="1" applyAlignment="1">
      <alignment vertical="center" wrapText="1"/>
    </xf>
    <xf numFmtId="3" fontId="107" fillId="0" borderId="32" xfId="433" applyNumberFormat="1" applyFont="1" applyFill="1" applyBorder="1" applyAlignment="1">
      <alignment vertical="center" wrapText="1"/>
    </xf>
    <xf numFmtId="166" fontId="107" fillId="27" borderId="14" xfId="432" applyNumberFormat="1" applyFont="1" applyFill="1" applyBorder="1" applyAlignment="1">
      <alignment horizontal="center" vertical="center" wrapText="1"/>
    </xf>
    <xf numFmtId="166" fontId="28" fillId="0" borderId="14" xfId="77" applyNumberFormat="1" applyFont="1" applyFill="1" applyBorder="1" applyAlignment="1">
      <alignment vertical="center"/>
    </xf>
    <xf numFmtId="166" fontId="146" fillId="0" borderId="14" xfId="434" applyNumberFormat="1" applyFont="1" applyFill="1" applyBorder="1" applyAlignment="1">
      <alignment horizontal="right"/>
    </xf>
    <xf numFmtId="3" fontId="28" fillId="0" borderId="23" xfId="433" applyNumberFormat="1" applyFont="1" applyFill="1" applyBorder="1" applyAlignment="1">
      <alignment horizontal="left" vertical="center"/>
    </xf>
    <xf numFmtId="199" fontId="28" fillId="0" borderId="14" xfId="77" applyNumberFormat="1" applyFont="1" applyBorder="1" applyAlignment="1">
      <alignment horizontal="left" vertical="center"/>
    </xf>
    <xf numFmtId="199" fontId="28" fillId="0" borderId="14" xfId="438" applyNumberFormat="1" applyFont="1" applyFill="1" applyBorder="1" applyAlignment="1">
      <alignment horizontal="left" vertical="center"/>
    </xf>
    <xf numFmtId="199" fontId="28" fillId="0" borderId="14" xfId="437" applyNumberFormat="1" applyFont="1" applyFill="1" applyBorder="1" applyAlignment="1">
      <alignment horizontal="right" vertical="center"/>
    </xf>
    <xf numFmtId="0" fontId="28" fillId="0" borderId="14" xfId="437" applyFont="1" applyFill="1" applyBorder="1" applyAlignment="1">
      <alignment vertical="center"/>
    </xf>
    <xf numFmtId="199" fontId="30" fillId="0" borderId="14" xfId="79" applyNumberFormat="1" applyFont="1" applyFill="1" applyBorder="1" applyAlignment="1">
      <alignment horizontal="center" vertical="center"/>
    </xf>
    <xf numFmtId="3" fontId="28" fillId="0" borderId="52" xfId="433" applyNumberFormat="1" applyFont="1" applyFill="1" applyBorder="1" applyAlignment="1">
      <alignment horizontal="left" vertical="center"/>
    </xf>
    <xf numFmtId="166" fontId="28" fillId="27" borderId="14" xfId="79" applyNumberFormat="1" applyFont="1" applyFill="1" applyBorder="1" applyAlignment="1">
      <alignment vertical="center"/>
    </xf>
    <xf numFmtId="166" fontId="28" fillId="27" borderId="14" xfId="432" applyNumberFormat="1" applyFont="1" applyFill="1" applyBorder="1" applyAlignment="1">
      <alignment vertical="center"/>
    </xf>
    <xf numFmtId="166" fontId="30" fillId="27" borderId="14" xfId="432" applyNumberFormat="1" applyFont="1" applyFill="1" applyBorder="1" applyAlignment="1">
      <alignment horizontal="center" vertical="center"/>
    </xf>
    <xf numFmtId="199" fontId="153" fillId="0" borderId="14" xfId="79" applyNumberFormat="1" applyFont="1" applyFill="1" applyBorder="1" applyAlignment="1">
      <alignment horizontal="center" vertical="center"/>
    </xf>
    <xf numFmtId="166" fontId="28" fillId="27" borderId="15" xfId="432" applyNumberFormat="1" applyFont="1" applyFill="1" applyBorder="1" applyAlignment="1">
      <alignment vertical="center"/>
    </xf>
    <xf numFmtId="3" fontId="28" fillId="27" borderId="15" xfId="433" applyNumberFormat="1" applyFont="1" applyFill="1" applyBorder="1" applyAlignment="1">
      <alignment vertical="center"/>
    </xf>
    <xf numFmtId="0" fontId="108" fillId="0" borderId="14" xfId="368" applyFont="1" applyFill="1" applyBorder="1" applyAlignment="1">
      <alignment horizontal="left" vertical="center"/>
    </xf>
    <xf numFmtId="0" fontId="108" fillId="27" borderId="14" xfId="368" applyFont="1" applyFill="1" applyBorder="1" applyAlignment="1">
      <alignment horizontal="center" vertical="center"/>
    </xf>
    <xf numFmtId="199" fontId="153" fillId="0" borderId="14" xfId="432" applyNumberFormat="1" applyFont="1" applyFill="1" applyBorder="1" applyAlignment="1">
      <alignment horizontal="center" vertical="center"/>
    </xf>
    <xf numFmtId="10" fontId="153" fillId="0" borderId="14" xfId="169" applyNumberFormat="1" applyFont="1" applyFill="1" applyBorder="1" applyAlignment="1">
      <alignment horizontal="center" vertical="center"/>
    </xf>
    <xf numFmtId="3" fontId="153" fillId="0" borderId="28" xfId="433" applyNumberFormat="1" applyFont="1" applyFill="1" applyBorder="1" applyAlignment="1">
      <alignment vertical="center" wrapText="1"/>
    </xf>
    <xf numFmtId="3" fontId="153" fillId="0" borderId="15" xfId="433" applyNumberFormat="1" applyFont="1" applyFill="1" applyBorder="1" applyAlignment="1">
      <alignment vertical="center" wrapText="1"/>
    </xf>
    <xf numFmtId="166" fontId="28" fillId="0" borderId="15" xfId="432" applyNumberFormat="1" applyFont="1" applyFill="1" applyBorder="1" applyAlignment="1">
      <alignment vertical="center"/>
    </xf>
    <xf numFmtId="199" fontId="30" fillId="0" borderId="14" xfId="432" applyNumberFormat="1" applyFont="1" applyFill="1" applyBorder="1" applyAlignment="1">
      <alignment horizontal="center" vertical="center"/>
    </xf>
    <xf numFmtId="166" fontId="28" fillId="0" borderId="14" xfId="432" applyNumberFormat="1" applyFont="1" applyFill="1" applyBorder="1" applyAlignment="1">
      <alignment horizontal="right" vertical="center"/>
    </xf>
    <xf numFmtId="166" fontId="153" fillId="0" borderId="14" xfId="77" applyNumberFormat="1" applyFont="1" applyFill="1" applyBorder="1" applyAlignment="1">
      <alignment horizontal="center" vertical="center"/>
    </xf>
    <xf numFmtId="166" fontId="107" fillId="0" borderId="14" xfId="77" applyNumberFormat="1" applyFont="1" applyFill="1" applyBorder="1" applyAlignment="1">
      <alignment vertical="center"/>
    </xf>
    <xf numFmtId="3" fontId="28" fillId="0" borderId="14" xfId="433" applyNumberFormat="1" applyFont="1" applyFill="1" applyBorder="1" applyAlignment="1">
      <alignment horizontal="right" vertical="center"/>
    </xf>
    <xf numFmtId="166" fontId="28" fillId="0" borderId="16" xfId="77" applyNumberFormat="1" applyFont="1" applyFill="1" applyBorder="1" applyAlignment="1">
      <alignment vertical="center"/>
    </xf>
    <xf numFmtId="3" fontId="28" fillId="0" borderId="23" xfId="433" applyNumberFormat="1" applyFont="1" applyFill="1" applyBorder="1" applyAlignment="1">
      <alignment vertical="center"/>
    </xf>
    <xf numFmtId="3" fontId="108" fillId="0" borderId="14" xfId="433" applyNumberFormat="1" applyFont="1" applyFill="1" applyBorder="1" applyAlignment="1">
      <alignment vertical="center" wrapText="1"/>
    </xf>
    <xf numFmtId="3" fontId="108" fillId="0" borderId="14" xfId="433" applyNumberFormat="1" applyFont="1" applyFill="1" applyBorder="1" applyAlignment="1">
      <alignment vertical="center"/>
    </xf>
    <xf numFmtId="0" fontId="30" fillId="0" borderId="26" xfId="368" applyFont="1" applyFill="1" applyBorder="1" applyAlignment="1">
      <alignment vertical="center"/>
    </xf>
    <xf numFmtId="0" fontId="30" fillId="0" borderId="14" xfId="368" applyFont="1" applyFill="1" applyBorder="1" applyAlignment="1">
      <alignment vertical="center"/>
    </xf>
    <xf numFmtId="166" fontId="107" fillId="0" borderId="14" xfId="432" applyNumberFormat="1" applyFont="1" applyFill="1" applyBorder="1" applyAlignment="1">
      <alignment horizontal="center" vertical="center"/>
    </xf>
    <xf numFmtId="199" fontId="107" fillId="0" borderId="14" xfId="432" applyNumberFormat="1" applyFont="1" applyFill="1" applyBorder="1" applyAlignment="1">
      <alignment horizontal="center" vertical="center"/>
    </xf>
    <xf numFmtId="199" fontId="107" fillId="0" borderId="14" xfId="433" applyNumberFormat="1" applyFont="1" applyFill="1" applyBorder="1" applyAlignment="1">
      <alignment horizontal="center" vertical="center"/>
    </xf>
    <xf numFmtId="166" fontId="82" fillId="35" borderId="14" xfId="77" applyNumberFormat="1" applyFont="1" applyFill="1" applyBorder="1" applyAlignment="1">
      <alignment vertical="center"/>
    </xf>
    <xf numFmtId="0" fontId="30" fillId="35" borderId="26" xfId="368" applyFont="1" applyFill="1" applyBorder="1" applyAlignment="1">
      <alignment horizontal="center" vertical="center"/>
    </xf>
    <xf numFmtId="166" fontId="30" fillId="35" borderId="14" xfId="77" applyNumberFormat="1" applyFont="1" applyFill="1" applyBorder="1" applyAlignment="1">
      <alignment horizontal="center" vertical="center"/>
    </xf>
    <xf numFmtId="166" fontId="28" fillId="35" borderId="14" xfId="77" applyNumberFormat="1" applyFont="1" applyFill="1" applyBorder="1" applyAlignment="1">
      <alignment vertical="center"/>
    </xf>
    <xf numFmtId="199" fontId="30" fillId="35" borderId="14" xfId="77" applyNumberFormat="1" applyFont="1" applyFill="1" applyBorder="1" applyAlignment="1">
      <alignment horizontal="center" vertical="center"/>
    </xf>
    <xf numFmtId="166" fontId="28" fillId="35" borderId="14" xfId="79" applyNumberFormat="1" applyFont="1" applyFill="1" applyBorder="1" applyAlignment="1">
      <alignment vertical="center"/>
    </xf>
    <xf numFmtId="10" fontId="30" fillId="35" borderId="14" xfId="166" applyNumberFormat="1" applyFont="1" applyFill="1" applyBorder="1" applyAlignment="1">
      <alignment horizontal="center" vertical="center"/>
    </xf>
    <xf numFmtId="0" fontId="30" fillId="35" borderId="0" xfId="368" applyFont="1" applyFill="1" applyAlignment="1">
      <alignment vertical="center"/>
    </xf>
    <xf numFmtId="199" fontId="30" fillId="0" borderId="14" xfId="77" applyNumberFormat="1" applyFont="1" applyFill="1" applyBorder="1" applyAlignment="1">
      <alignment horizontal="center" vertical="center"/>
    </xf>
    <xf numFmtId="166" fontId="28" fillId="0" borderId="15" xfId="77" applyNumberFormat="1" applyFont="1" applyFill="1" applyBorder="1" applyAlignment="1">
      <alignment vertical="center"/>
    </xf>
    <xf numFmtId="3" fontId="30" fillId="0" borderId="73" xfId="433" applyNumberFormat="1" applyFont="1" applyFill="1" applyBorder="1" applyAlignment="1">
      <alignment horizontal="right" vertical="center"/>
    </xf>
    <xf numFmtId="166" fontId="28" fillId="0" borderId="60" xfId="77" applyNumberFormat="1" applyFont="1" applyFill="1" applyBorder="1" applyAlignment="1">
      <alignment vertical="center"/>
    </xf>
    <xf numFmtId="3" fontId="30" fillId="0" borderId="60" xfId="433" applyNumberFormat="1" applyFont="1" applyFill="1" applyBorder="1" applyAlignment="1">
      <alignment horizontal="right" vertical="center" wrapText="1"/>
    </xf>
    <xf numFmtId="3" fontId="28" fillId="0" borderId="14" xfId="433" applyNumberFormat="1" applyFont="1" applyFill="1" applyBorder="1" applyAlignment="1">
      <alignment horizontal="center" vertical="center" wrapText="1"/>
    </xf>
    <xf numFmtId="166" fontId="82" fillId="0" borderId="14" xfId="77" applyNumberFormat="1" applyFont="1" applyFill="1" applyBorder="1" applyAlignment="1">
      <alignment vertical="center"/>
    </xf>
    <xf numFmtId="166" fontId="28" fillId="27" borderId="14" xfId="77" applyNumberFormat="1" applyFont="1" applyFill="1" applyBorder="1" applyAlignment="1">
      <alignment horizontal="center" vertical="center" wrapText="1"/>
    </xf>
    <xf numFmtId="0" fontId="28" fillId="27" borderId="0" xfId="368" applyFont="1" applyFill="1" applyAlignment="1">
      <alignment horizontal="center" vertical="center"/>
    </xf>
    <xf numFmtId="0" fontId="28" fillId="0" borderId="0" xfId="368" applyFont="1" applyFill="1" applyAlignment="1">
      <alignment horizontal="center" vertical="center"/>
    </xf>
    <xf numFmtId="0" fontId="28" fillId="36" borderId="26" xfId="368" applyFont="1" applyFill="1" applyBorder="1" applyAlignment="1">
      <alignment horizontal="center" vertical="center"/>
    </xf>
    <xf numFmtId="0" fontId="28" fillId="36" borderId="14" xfId="369" applyFont="1" applyFill="1" applyBorder="1" applyAlignment="1">
      <alignment vertical="center" wrapText="1"/>
    </xf>
    <xf numFmtId="0" fontId="28" fillId="36" borderId="14" xfId="369" applyFont="1" applyFill="1" applyBorder="1" applyAlignment="1">
      <alignment horizontal="center" vertical="center" wrapText="1"/>
    </xf>
    <xf numFmtId="166" fontId="28" fillId="36" borderId="14" xfId="432" applyNumberFormat="1" applyFont="1" applyFill="1" applyBorder="1" applyAlignment="1">
      <alignment horizontal="center" vertical="center" wrapText="1"/>
    </xf>
    <xf numFmtId="0" fontId="28" fillId="36" borderId="14" xfId="368" applyFont="1" applyFill="1" applyBorder="1" applyAlignment="1">
      <alignment vertical="center"/>
    </xf>
    <xf numFmtId="166" fontId="107" fillId="36" borderId="14" xfId="432" applyNumberFormat="1" applyFont="1" applyFill="1" applyBorder="1" applyAlignment="1">
      <alignment vertical="center"/>
    </xf>
    <xf numFmtId="166" fontId="28" fillId="36" borderId="14" xfId="432" applyNumberFormat="1" applyFont="1" applyFill="1" applyBorder="1" applyAlignment="1">
      <alignment vertical="center"/>
    </xf>
    <xf numFmtId="166" fontId="30" fillId="36" borderId="14" xfId="432" applyNumberFormat="1" applyFont="1" applyFill="1" applyBorder="1" applyAlignment="1">
      <alignment horizontal="center" vertical="center"/>
    </xf>
    <xf numFmtId="3" fontId="28" fillId="36" borderId="14" xfId="433" applyNumberFormat="1" applyFont="1" applyFill="1" applyBorder="1" applyAlignment="1">
      <alignment vertical="center"/>
    </xf>
    <xf numFmtId="43" fontId="28" fillId="36" borderId="14" xfId="77" applyFont="1" applyFill="1" applyBorder="1" applyAlignment="1">
      <alignment vertical="center"/>
    </xf>
    <xf numFmtId="199" fontId="28" fillId="36" borderId="14" xfId="432" applyNumberFormat="1" applyFont="1" applyFill="1" applyBorder="1" applyAlignment="1">
      <alignment vertical="center"/>
    </xf>
    <xf numFmtId="0" fontId="28" fillId="36" borderId="0" xfId="368" applyFont="1" applyFill="1" applyAlignment="1">
      <alignment vertical="center"/>
    </xf>
    <xf numFmtId="43" fontId="28" fillId="36" borderId="0" xfId="77" applyFont="1" applyFill="1" applyAlignment="1">
      <alignment vertical="center"/>
    </xf>
    <xf numFmtId="43" fontId="28" fillId="36" borderId="0" xfId="368" applyNumberFormat="1" applyFont="1" applyFill="1" applyAlignment="1">
      <alignment vertical="center"/>
    </xf>
    <xf numFmtId="164" fontId="28" fillId="36" borderId="0" xfId="368" applyNumberFormat="1" applyFont="1" applyFill="1" applyAlignment="1">
      <alignment vertical="center"/>
    </xf>
    <xf numFmtId="166" fontId="28" fillId="36" borderId="0" xfId="77" applyNumberFormat="1" applyFont="1" applyFill="1" applyAlignment="1">
      <alignment vertical="center"/>
    </xf>
    <xf numFmtId="166" fontId="28" fillId="36" borderId="0" xfId="368" applyNumberFormat="1" applyFont="1" applyFill="1" applyAlignment="1">
      <alignment vertical="center"/>
    </xf>
    <xf numFmtId="166" fontId="150" fillId="36" borderId="14" xfId="434" applyNumberFormat="1" applyFont="1" applyFill="1" applyBorder="1" applyAlignment="1">
      <alignment horizontal="right"/>
    </xf>
    <xf numFmtId="166" fontId="28" fillId="36" borderId="14" xfId="79" applyNumberFormat="1" applyFont="1" applyFill="1" applyBorder="1" applyAlignment="1">
      <alignment vertical="center"/>
    </xf>
    <xf numFmtId="3" fontId="150" fillId="36" borderId="14" xfId="435" applyNumberFormat="1" applyFont="1" applyFill="1" applyBorder="1" applyAlignment="1">
      <alignment horizontal="center" vertical="center" wrapText="1"/>
    </xf>
    <xf numFmtId="3" fontId="28" fillId="36" borderId="14" xfId="433" applyNumberFormat="1" applyFont="1" applyFill="1" applyBorder="1" applyAlignment="1">
      <alignment vertical="center" wrapText="1"/>
    </xf>
    <xf numFmtId="166" fontId="82" fillId="36" borderId="14" xfId="77" applyNumberFormat="1" applyFont="1" applyFill="1" applyBorder="1" applyAlignment="1">
      <alignment horizontal="center" vertical="center" wrapText="1"/>
    </xf>
    <xf numFmtId="3" fontId="146" fillId="36" borderId="14" xfId="435" applyNumberFormat="1" applyFont="1" applyFill="1" applyBorder="1" applyAlignment="1">
      <alignment horizontal="center" vertical="center" wrapText="1"/>
    </xf>
    <xf numFmtId="0" fontId="28" fillId="36" borderId="26" xfId="368" applyFont="1" applyFill="1" applyBorder="1" applyAlignment="1">
      <alignment vertical="center"/>
    </xf>
    <xf numFmtId="200" fontId="28" fillId="36" borderId="14" xfId="432" applyNumberFormat="1" applyFont="1" applyFill="1" applyBorder="1" applyAlignment="1">
      <alignment horizontal="center" vertical="center" wrapText="1"/>
    </xf>
    <xf numFmtId="166" fontId="28" fillId="36" borderId="14" xfId="79" applyNumberFormat="1" applyFont="1" applyFill="1" applyBorder="1" applyAlignment="1">
      <alignment horizontal="center" vertical="center" wrapText="1"/>
    </xf>
    <xf numFmtId="200" fontId="28" fillId="36" borderId="14" xfId="79" applyNumberFormat="1" applyFont="1" applyFill="1" applyBorder="1" applyAlignment="1">
      <alignment horizontal="center" vertical="center" wrapText="1"/>
    </xf>
    <xf numFmtId="199" fontId="28" fillId="36" borderId="14" xfId="85" applyNumberFormat="1" applyFont="1" applyFill="1" applyBorder="1" applyAlignment="1">
      <alignment horizontal="right" vertical="center"/>
    </xf>
    <xf numFmtId="3" fontId="146" fillId="36" borderId="14" xfId="435" applyNumberFormat="1" applyFont="1" applyFill="1" applyBorder="1" applyAlignment="1" applyProtection="1">
      <alignment horizontal="left" vertical="center" wrapText="1"/>
    </xf>
    <xf numFmtId="200" fontId="151" fillId="36" borderId="14" xfId="79" applyNumberFormat="1" applyFont="1" applyFill="1" applyBorder="1" applyAlignment="1">
      <alignment horizontal="center" vertical="center" wrapText="1"/>
    </xf>
    <xf numFmtId="166" fontId="28" fillId="36" borderId="25" xfId="432" applyNumberFormat="1" applyFont="1" applyFill="1" applyBorder="1" applyAlignment="1">
      <alignment horizontal="center" vertical="center" wrapText="1"/>
    </xf>
    <xf numFmtId="166" fontId="152" fillId="36" borderId="77" xfId="432" applyNumberFormat="1" applyFont="1" applyFill="1" applyBorder="1"/>
    <xf numFmtId="0" fontId="28" fillId="36" borderId="0" xfId="368" applyFont="1" applyFill="1" applyBorder="1" applyAlignment="1">
      <alignment vertical="center"/>
    </xf>
    <xf numFmtId="166" fontId="28" fillId="36" borderId="0" xfId="432" applyNumberFormat="1" applyFont="1" applyFill="1" applyBorder="1" applyAlignment="1">
      <alignment vertical="center"/>
    </xf>
    <xf numFmtId="166" fontId="107" fillId="36" borderId="14" xfId="79" applyNumberFormat="1" applyFont="1" applyFill="1" applyBorder="1" applyAlignment="1">
      <alignment vertical="center"/>
    </xf>
    <xf numFmtId="3" fontId="28" fillId="36" borderId="14" xfId="433" applyNumberFormat="1" applyFont="1" applyFill="1" applyBorder="1" applyAlignment="1">
      <alignment horizontal="right" vertical="center" wrapText="1"/>
    </xf>
    <xf numFmtId="166" fontId="28" fillId="36" borderId="0" xfId="432" applyNumberFormat="1" applyFont="1" applyFill="1" applyBorder="1" applyAlignment="1">
      <alignment horizontal="center" vertical="center" wrapText="1"/>
    </xf>
    <xf numFmtId="166" fontId="151" fillId="36" borderId="78" xfId="432" applyNumberFormat="1" applyFont="1" applyFill="1" applyBorder="1" applyAlignment="1">
      <alignment wrapText="1"/>
    </xf>
    <xf numFmtId="166" fontId="28" fillId="36" borderId="14" xfId="432" applyNumberFormat="1" applyFont="1" applyFill="1" applyBorder="1" applyAlignment="1">
      <alignment wrapText="1"/>
    </xf>
    <xf numFmtId="166" fontId="146" fillId="36" borderId="14" xfId="434" applyNumberFormat="1" applyFont="1" applyFill="1" applyBorder="1" applyAlignment="1">
      <alignment horizontal="right"/>
    </xf>
    <xf numFmtId="3" fontId="28" fillId="36" borderId="14" xfId="436" applyNumberFormat="1" applyFont="1" applyFill="1" applyBorder="1" applyAlignment="1">
      <alignment horizontal="left" vertical="center"/>
    </xf>
    <xf numFmtId="3" fontId="28" fillId="36" borderId="14" xfId="436" applyNumberFormat="1" applyFont="1" applyFill="1" applyBorder="1" applyAlignment="1">
      <alignment horizontal="center" vertical="center"/>
    </xf>
    <xf numFmtId="166" fontId="28" fillId="36" borderId="14" xfId="432" applyNumberFormat="1" applyFont="1" applyFill="1" applyBorder="1" applyAlignment="1">
      <alignment horizontal="center" vertical="center"/>
    </xf>
    <xf numFmtId="3" fontId="28" fillId="36" borderId="14" xfId="435" applyNumberFormat="1" applyFont="1" applyFill="1" applyBorder="1" applyAlignment="1">
      <alignment horizontal="right" vertical="center"/>
    </xf>
    <xf numFmtId="3" fontId="146" fillId="36" borderId="14" xfId="437" applyNumberFormat="1" applyFont="1" applyFill="1" applyBorder="1" applyAlignment="1">
      <alignment horizontal="right" vertical="center" wrapText="1"/>
    </xf>
    <xf numFmtId="0" fontId="146" fillId="36" borderId="14" xfId="435" applyFont="1" applyFill="1" applyBorder="1" applyAlignment="1">
      <alignment vertical="center"/>
    </xf>
    <xf numFmtId="199" fontId="28" fillId="36" borderId="14" xfId="274" applyNumberFormat="1" applyFont="1" applyFill="1" applyBorder="1" applyAlignment="1">
      <alignment horizontal="center" vertical="center"/>
    </xf>
    <xf numFmtId="37" fontId="28" fillId="0" borderId="14" xfId="432" applyNumberFormat="1" applyFont="1" applyFill="1" applyBorder="1" applyAlignment="1">
      <alignment vertical="center"/>
    </xf>
    <xf numFmtId="0" fontId="107" fillId="36" borderId="26" xfId="368" applyFont="1" applyFill="1" applyBorder="1" applyAlignment="1">
      <alignment horizontal="center" vertical="center"/>
    </xf>
    <xf numFmtId="0" fontId="107" fillId="36" borderId="14" xfId="369" applyFont="1" applyFill="1" applyBorder="1" applyAlignment="1">
      <alignment vertical="center" wrapText="1"/>
    </xf>
    <xf numFmtId="0" fontId="107" fillId="36" borderId="14" xfId="369" applyFont="1" applyFill="1" applyBorder="1" applyAlignment="1">
      <alignment horizontal="center" vertical="center" wrapText="1"/>
    </xf>
    <xf numFmtId="166" fontId="107" fillId="36" borderId="14" xfId="432" applyNumberFormat="1" applyFont="1" applyFill="1" applyBorder="1" applyAlignment="1">
      <alignment horizontal="center" vertical="center" wrapText="1"/>
    </xf>
    <xf numFmtId="0" fontId="107" fillId="36" borderId="14" xfId="368" applyFont="1" applyFill="1" applyBorder="1" applyAlignment="1">
      <alignment vertical="center"/>
    </xf>
    <xf numFmtId="3" fontId="154" fillId="36" borderId="14" xfId="435" applyNumberFormat="1" applyFont="1" applyFill="1" applyBorder="1" applyAlignment="1">
      <alignment horizontal="center" vertical="center" wrapText="1"/>
    </xf>
    <xf numFmtId="166" fontId="153" fillId="36" borderId="14" xfId="432" applyNumberFormat="1" applyFont="1" applyFill="1" applyBorder="1" applyAlignment="1">
      <alignment horizontal="center" vertical="center"/>
    </xf>
    <xf numFmtId="0" fontId="107" fillId="36" borderId="0" xfId="368" applyFont="1" applyFill="1" applyAlignment="1">
      <alignment vertical="center"/>
    </xf>
    <xf numFmtId="166" fontId="107" fillId="36" borderId="16" xfId="432" applyNumberFormat="1" applyFont="1" applyFill="1" applyBorder="1" applyAlignment="1">
      <alignment horizontal="center" vertical="center" wrapText="1"/>
    </xf>
    <xf numFmtId="3" fontId="107" fillId="36" borderId="23" xfId="433" applyNumberFormat="1" applyFont="1" applyFill="1" applyBorder="1" applyAlignment="1">
      <alignment vertical="center" wrapText="1"/>
    </xf>
    <xf numFmtId="3" fontId="28" fillId="36" borderId="14" xfId="433" applyNumberFormat="1" applyFont="1" applyFill="1" applyBorder="1" applyAlignment="1">
      <alignment horizontal="left" vertical="center"/>
    </xf>
    <xf numFmtId="3" fontId="28" fillId="36" borderId="14" xfId="358" applyNumberFormat="1" applyFont="1" applyFill="1" applyBorder="1" applyAlignment="1">
      <alignment horizontal="right" vertical="center"/>
    </xf>
    <xf numFmtId="3" fontId="146" fillId="36" borderId="14" xfId="435" applyNumberFormat="1" applyFont="1" applyFill="1" applyBorder="1" applyAlignment="1">
      <alignment horizontal="right" vertical="center" wrapText="1"/>
    </xf>
    <xf numFmtId="199" fontId="30" fillId="36" borderId="14" xfId="79" applyNumberFormat="1" applyFont="1" applyFill="1" applyBorder="1" applyAlignment="1">
      <alignment horizontal="center" vertical="center"/>
    </xf>
    <xf numFmtId="166" fontId="147" fillId="36" borderId="14" xfId="77" applyNumberFormat="1" applyFont="1" applyFill="1" applyBorder="1" applyAlignment="1">
      <alignment horizontal="center" vertical="center" wrapText="1"/>
    </xf>
    <xf numFmtId="166" fontId="28" fillId="36" borderId="14" xfId="77" applyNumberFormat="1" applyFont="1" applyFill="1" applyBorder="1" applyAlignment="1">
      <alignment horizontal="center" vertical="center" wrapText="1"/>
    </xf>
    <xf numFmtId="166" fontId="107" fillId="36" borderId="14" xfId="77" applyNumberFormat="1" applyFont="1" applyFill="1" applyBorder="1" applyAlignment="1">
      <alignment vertical="center"/>
    </xf>
    <xf numFmtId="166" fontId="30" fillId="36" borderId="14" xfId="77" applyNumberFormat="1" applyFont="1" applyFill="1" applyBorder="1" applyAlignment="1">
      <alignment horizontal="center" vertical="center"/>
    </xf>
    <xf numFmtId="166" fontId="28" fillId="36" borderId="14" xfId="77" applyNumberFormat="1" applyFont="1" applyFill="1" applyBorder="1" applyAlignment="1">
      <alignment vertical="center"/>
    </xf>
    <xf numFmtId="3" fontId="28" fillId="36" borderId="14" xfId="433" applyNumberFormat="1" applyFont="1" applyFill="1" applyBorder="1" applyAlignment="1">
      <alignment horizontal="right" vertical="center"/>
    </xf>
    <xf numFmtId="0" fontId="146" fillId="36" borderId="14" xfId="435" applyNumberFormat="1" applyFont="1" applyFill="1" applyBorder="1" applyAlignment="1" applyProtection="1">
      <alignment horizontal="left" vertical="center" wrapText="1"/>
    </xf>
    <xf numFmtId="0" fontId="146" fillId="36" borderId="14" xfId="435" applyNumberFormat="1" applyFont="1" applyFill="1" applyBorder="1" applyAlignment="1" applyProtection="1">
      <alignment horizontal="center" vertical="center" wrapText="1"/>
    </xf>
    <xf numFmtId="166" fontId="107" fillId="36" borderId="14" xfId="432" applyNumberFormat="1" applyFont="1" applyFill="1" applyBorder="1" applyAlignment="1">
      <alignment horizontal="center" vertical="center"/>
    </xf>
    <xf numFmtId="3" fontId="107" fillId="36" borderId="14" xfId="432" applyNumberFormat="1" applyFont="1" applyFill="1" applyBorder="1" applyAlignment="1">
      <alignment horizontal="center" vertical="center"/>
    </xf>
    <xf numFmtId="0" fontId="30" fillId="36" borderId="26" xfId="368" applyFont="1" applyFill="1" applyBorder="1" applyAlignment="1">
      <alignment horizontal="center" vertical="center"/>
    </xf>
    <xf numFmtId="0" fontId="30" fillId="36" borderId="0" xfId="368" applyFont="1" applyFill="1" applyAlignment="1">
      <alignment vertical="center"/>
    </xf>
    <xf numFmtId="43" fontId="28" fillId="0" borderId="0" xfId="368" applyNumberFormat="1" applyFont="1" applyFill="1" applyAlignment="1">
      <alignment vertical="center"/>
    </xf>
    <xf numFmtId="0" fontId="146" fillId="36" borderId="14" xfId="435" applyNumberFormat="1" applyFont="1" applyFill="1" applyBorder="1" applyAlignment="1" applyProtection="1">
      <alignment horizontal="right" vertical="center" wrapText="1"/>
    </xf>
    <xf numFmtId="0" fontId="146" fillId="36" borderId="14" xfId="435" applyFont="1" applyFill="1" applyBorder="1"/>
    <xf numFmtId="0" fontId="30" fillId="36" borderId="14" xfId="368" applyFont="1" applyFill="1" applyBorder="1" applyAlignment="1">
      <alignment horizontal="left" vertical="center"/>
    </xf>
    <xf numFmtId="166" fontId="28" fillId="36" borderId="14" xfId="77" applyNumberFormat="1" applyFont="1" applyFill="1" applyBorder="1" applyAlignment="1">
      <alignment horizontal="center" vertical="center"/>
    </xf>
    <xf numFmtId="0" fontId="30" fillId="36" borderId="14" xfId="368" applyFont="1" applyFill="1" applyBorder="1" applyAlignment="1">
      <alignment vertical="center"/>
    </xf>
    <xf numFmtId="199" fontId="30" fillId="36" borderId="14" xfId="77" applyNumberFormat="1" applyFont="1" applyFill="1" applyBorder="1" applyAlignment="1">
      <alignment horizontal="center" vertical="center"/>
    </xf>
    <xf numFmtId="0" fontId="28" fillId="36" borderId="14" xfId="368" applyFont="1" applyFill="1" applyBorder="1" applyAlignment="1">
      <alignment horizontal="center" vertical="center"/>
    </xf>
    <xf numFmtId="0" fontId="28" fillId="36" borderId="73" xfId="368" applyFont="1" applyFill="1" applyBorder="1" applyAlignment="1">
      <alignment horizontal="center" vertical="center"/>
    </xf>
    <xf numFmtId="199" fontId="28" fillId="36" borderId="14" xfId="77" applyNumberFormat="1" applyFont="1" applyFill="1" applyBorder="1" applyAlignment="1">
      <alignment vertical="center"/>
    </xf>
    <xf numFmtId="0" fontId="28" fillId="36" borderId="72" xfId="368" applyFont="1" applyFill="1" applyBorder="1" applyAlignment="1">
      <alignment vertical="center"/>
    </xf>
    <xf numFmtId="0" fontId="28" fillId="36" borderId="73" xfId="368" applyFont="1" applyFill="1" applyBorder="1" applyAlignment="1">
      <alignment vertical="center"/>
    </xf>
    <xf numFmtId="166" fontId="28" fillId="36" borderId="73" xfId="77" applyNumberFormat="1" applyFont="1" applyFill="1" applyBorder="1" applyAlignment="1">
      <alignment vertical="center"/>
    </xf>
    <xf numFmtId="3" fontId="146" fillId="36" borderId="73" xfId="435" applyNumberFormat="1" applyFont="1" applyFill="1" applyBorder="1" applyAlignment="1">
      <alignment horizontal="center" vertical="center" wrapText="1"/>
    </xf>
    <xf numFmtId="0" fontId="28" fillId="0" borderId="0" xfId="368" applyFont="1" applyFill="1" applyBorder="1" applyAlignment="1">
      <alignment vertical="center"/>
    </xf>
    <xf numFmtId="0" fontId="28" fillId="0" borderId="0" xfId="368" applyFont="1" applyFill="1" applyBorder="1" applyAlignment="1">
      <alignment horizontal="center" vertical="center"/>
    </xf>
    <xf numFmtId="166" fontId="28" fillId="0" borderId="0" xfId="77" applyNumberFormat="1" applyFont="1" applyFill="1" applyBorder="1" applyAlignment="1">
      <alignment vertical="center"/>
    </xf>
    <xf numFmtId="3" fontId="146" fillId="0" borderId="0" xfId="435" applyNumberFormat="1" applyFont="1" applyFill="1" applyBorder="1" applyAlignment="1">
      <alignment horizontal="center" vertical="center" wrapText="1"/>
    </xf>
    <xf numFmtId="166" fontId="30" fillId="0" borderId="0" xfId="77" applyNumberFormat="1" applyFont="1" applyFill="1" applyBorder="1" applyAlignment="1">
      <alignment horizontal="center" vertical="center"/>
    </xf>
    <xf numFmtId="199" fontId="28" fillId="0" borderId="0" xfId="77" applyNumberFormat="1" applyFont="1" applyFill="1" applyBorder="1" applyAlignment="1">
      <alignment vertical="center"/>
    </xf>
    <xf numFmtId="164" fontId="30" fillId="26" borderId="0" xfId="368" applyNumberFormat="1" applyFont="1" applyFill="1" applyAlignment="1">
      <alignment vertical="center"/>
    </xf>
    <xf numFmtId="164" fontId="30" fillId="36" borderId="0" xfId="368" applyNumberFormat="1" applyFont="1" applyFill="1" applyAlignment="1">
      <alignment vertical="center"/>
    </xf>
    <xf numFmtId="164" fontId="30" fillId="0" borderId="0" xfId="368" applyNumberFormat="1" applyFont="1" applyFill="1" applyAlignment="1">
      <alignment vertical="center"/>
    </xf>
    <xf numFmtId="3" fontId="28" fillId="0" borderId="14" xfId="0" applyNumberFormat="1" applyFont="1" applyFill="1" applyBorder="1" applyAlignment="1">
      <alignment vertical="center"/>
    </xf>
    <xf numFmtId="4" fontId="28" fillId="0" borderId="14" xfId="0" applyNumberFormat="1" applyFont="1" applyFill="1" applyBorder="1" applyAlignment="1">
      <alignment vertical="center"/>
    </xf>
    <xf numFmtId="3" fontId="30" fillId="0" borderId="14" xfId="0" applyNumberFormat="1" applyFont="1" applyFill="1" applyBorder="1" applyAlignment="1">
      <alignment vertical="center"/>
    </xf>
    <xf numFmtId="4" fontId="30" fillId="0" borderId="14" xfId="0" applyNumberFormat="1" applyFont="1" applyFill="1" applyBorder="1" applyAlignment="1">
      <alignment vertical="center"/>
    </xf>
    <xf numFmtId="0" fontId="28" fillId="0" borderId="23" xfId="153" applyFont="1" applyFill="1" applyBorder="1" applyAlignment="1">
      <alignment horizontal="right" vertical="center" wrapText="1"/>
    </xf>
    <xf numFmtId="167" fontId="30" fillId="0" borderId="14" xfId="0" applyNumberFormat="1" applyFont="1" applyBorder="1" applyAlignment="1">
      <alignment vertical="center"/>
    </xf>
    <xf numFmtId="3" fontId="82" fillId="0" borderId="23" xfId="206" applyNumberFormat="1" applyFont="1" applyFill="1" applyBorder="1" applyAlignment="1">
      <alignment vertical="center"/>
    </xf>
    <xf numFmtId="0" fontId="30" fillId="37" borderId="79" xfId="368" applyFont="1" applyFill="1" applyBorder="1" applyAlignment="1">
      <alignment horizontal="center" vertical="center"/>
    </xf>
    <xf numFmtId="0" fontId="30" fillId="37" borderId="79" xfId="368" applyFont="1" applyFill="1" applyBorder="1" applyAlignment="1">
      <alignment horizontal="center" vertical="center" wrapText="1"/>
    </xf>
    <xf numFmtId="43" fontId="30" fillId="37" borderId="79" xfId="368"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113" fillId="0" borderId="15" xfId="0" applyFont="1" applyFill="1" applyBorder="1" applyAlignment="1">
      <alignment horizontal="center" vertical="center" wrapText="1"/>
    </xf>
    <xf numFmtId="49" fontId="113" fillId="0" borderId="15" xfId="0" applyNumberFormat="1" applyFont="1" applyFill="1" applyBorder="1" applyAlignment="1">
      <alignment horizontal="left" vertical="center" wrapText="1"/>
    </xf>
    <xf numFmtId="0" fontId="82" fillId="0" borderId="15" xfId="0" applyFont="1" applyFill="1" applyBorder="1" applyAlignment="1">
      <alignment horizontal="center" vertical="center" wrapText="1"/>
    </xf>
    <xf numFmtId="166" fontId="82" fillId="0" borderId="15" xfId="77" applyNumberFormat="1" applyFont="1" applyFill="1" applyBorder="1" applyAlignment="1">
      <alignment vertical="center" wrapText="1"/>
    </xf>
    <xf numFmtId="0" fontId="28" fillId="0" borderId="14" xfId="0" applyFont="1" applyFill="1" applyBorder="1" applyAlignment="1">
      <alignment vertical="center" wrapText="1"/>
    </xf>
    <xf numFmtId="0" fontId="95" fillId="0" borderId="14" xfId="0" applyFont="1" applyFill="1" applyBorder="1" applyAlignment="1">
      <alignment vertical="center" wrapText="1"/>
    </xf>
    <xf numFmtId="0" fontId="32" fillId="0" borderId="14" xfId="0" applyFont="1" applyFill="1" applyBorder="1" applyAlignment="1">
      <alignment vertical="center" wrapText="1"/>
    </xf>
    <xf numFmtId="0" fontId="28" fillId="0" borderId="54" xfId="0" applyFont="1" applyFill="1" applyBorder="1" applyAlignment="1">
      <alignment vertical="center" wrapText="1"/>
    </xf>
    <xf numFmtId="0" fontId="30" fillId="0" borderId="14" xfId="0" applyFont="1" applyFill="1" applyBorder="1" applyAlignment="1">
      <alignment vertical="center" wrapText="1"/>
    </xf>
    <xf numFmtId="0" fontId="97" fillId="0" borderId="14" xfId="0" applyFont="1" applyFill="1" applyBorder="1" applyAlignment="1">
      <alignment vertical="center" wrapText="1"/>
    </xf>
    <xf numFmtId="3" fontId="32" fillId="0" borderId="14" xfId="0" applyNumberFormat="1" applyFont="1" applyFill="1" applyBorder="1" applyAlignment="1">
      <alignment vertical="center"/>
    </xf>
    <xf numFmtId="3" fontId="28" fillId="0" borderId="14" xfId="0" applyNumberFormat="1" applyFont="1" applyFill="1" applyBorder="1" applyAlignment="1">
      <alignment horizontal="center" vertical="center"/>
    </xf>
    <xf numFmtId="0" fontId="32" fillId="0" borderId="0" xfId="0" applyFont="1" applyFill="1"/>
    <xf numFmtId="174" fontId="28" fillId="0" borderId="0" xfId="0" applyNumberFormat="1" applyFont="1" applyFill="1"/>
    <xf numFmtId="3" fontId="28" fillId="0" borderId="0" xfId="0" applyNumberFormat="1" applyFont="1" applyFill="1"/>
    <xf numFmtId="4" fontId="28" fillId="0" borderId="0" xfId="0" applyNumberFormat="1" applyFont="1" applyFill="1"/>
    <xf numFmtId="0" fontId="30" fillId="0" borderId="61" xfId="0" applyFont="1" applyFill="1" applyBorder="1" applyAlignment="1">
      <alignment horizontal="center" vertical="center" wrapText="1"/>
    </xf>
    <xf numFmtId="0" fontId="32" fillId="0" borderId="14" xfId="0" applyFont="1" applyFill="1" applyBorder="1" applyAlignment="1">
      <alignment horizontal="center" vertical="center"/>
    </xf>
    <xf numFmtId="0" fontId="28" fillId="0" borderId="15" xfId="0" applyFont="1" applyFill="1" applyBorder="1" applyAlignment="1">
      <alignment horizontal="center" vertical="center" wrapText="1"/>
    </xf>
    <xf numFmtId="167" fontId="30" fillId="0" borderId="0" xfId="0" applyNumberFormat="1" applyFont="1" applyAlignment="1">
      <alignment horizontal="center" vertical="center"/>
    </xf>
    <xf numFmtId="1" fontId="28" fillId="0" borderId="14" xfId="0" applyNumberFormat="1" applyFont="1" applyBorder="1" applyAlignment="1">
      <alignment horizontal="right" vertical="center"/>
    </xf>
    <xf numFmtId="43" fontId="30" fillId="0" borderId="0" xfId="0" applyNumberFormat="1" applyFont="1" applyAlignment="1">
      <alignment vertical="center"/>
    </xf>
    <xf numFmtId="1" fontId="30" fillId="0" borderId="0" xfId="0" applyNumberFormat="1" applyFont="1" applyAlignment="1">
      <alignment vertical="center"/>
    </xf>
    <xf numFmtId="0" fontId="28" fillId="0" borderId="52" xfId="153" applyFont="1" applyFill="1" applyBorder="1" applyAlignment="1">
      <alignment horizontal="center" vertical="center" wrapText="1"/>
    </xf>
    <xf numFmtId="9" fontId="28" fillId="0" borderId="52" xfId="153" applyNumberFormat="1" applyFont="1" applyFill="1" applyBorder="1" applyAlignment="1">
      <alignment horizontal="center" vertical="center" wrapText="1"/>
    </xf>
    <xf numFmtId="0" fontId="35" fillId="0" borderId="19" xfId="153" applyFont="1" applyFill="1" applyBorder="1" applyAlignment="1">
      <alignment horizontal="right" vertical="center" wrapText="1"/>
    </xf>
    <xf numFmtId="0" fontId="35" fillId="0" borderId="16" xfId="153" applyFont="1" applyFill="1" applyBorder="1" applyAlignment="1">
      <alignment horizontal="left" vertical="center" wrapText="1"/>
    </xf>
    <xf numFmtId="0" fontId="28" fillId="0" borderId="25" xfId="153" applyFont="1" applyFill="1" applyBorder="1" applyAlignment="1">
      <alignment horizontal="center" vertical="center" wrapText="1"/>
    </xf>
    <xf numFmtId="0" fontId="28" fillId="0" borderId="32" xfId="153" applyFont="1" applyFill="1" applyBorder="1" applyAlignment="1">
      <alignment horizontal="center" vertical="center" wrapText="1"/>
    </xf>
    <xf numFmtId="9" fontId="28" fillId="0" borderId="16" xfId="153" applyNumberFormat="1" applyFont="1" applyFill="1" applyBorder="1" applyAlignment="1">
      <alignment horizontal="center" vertical="center" wrapText="1"/>
    </xf>
    <xf numFmtId="0" fontId="28" fillId="0" borderId="0" xfId="153" applyFont="1" applyFill="1" applyAlignment="1">
      <alignment horizontal="right" vertical="center"/>
    </xf>
    <xf numFmtId="0" fontId="28" fillId="0" borderId="0" xfId="153" applyFont="1" applyFill="1" applyAlignment="1">
      <alignment horizontal="center" vertical="center"/>
    </xf>
    <xf numFmtId="166" fontId="28" fillId="0" borderId="0" xfId="79" applyNumberFormat="1" applyFont="1" applyFill="1" applyAlignment="1">
      <alignment vertical="center"/>
    </xf>
    <xf numFmtId="166" fontId="28" fillId="0" borderId="0" xfId="79" applyNumberFormat="1" applyFont="1" applyFill="1" applyAlignment="1">
      <alignment horizontal="right" vertical="center"/>
    </xf>
    <xf numFmtId="185" fontId="28" fillId="0" borderId="0" xfId="79" applyNumberFormat="1" applyFont="1" applyFill="1" applyAlignment="1">
      <alignment vertical="center"/>
    </xf>
    <xf numFmtId="4" fontId="28" fillId="0" borderId="0" xfId="153" applyNumberFormat="1" applyFont="1" applyFill="1" applyAlignment="1">
      <alignment vertical="center"/>
    </xf>
    <xf numFmtId="0" fontId="36" fillId="0" borderId="0" xfId="153" applyFont="1" applyFill="1" applyAlignment="1">
      <alignment horizontal="center" vertical="center" wrapText="1"/>
    </xf>
    <xf numFmtId="0" fontId="30" fillId="0" borderId="22" xfId="153" applyNumberFormat="1" applyFont="1" applyFill="1" applyBorder="1" applyAlignment="1">
      <alignment horizontal="right" vertical="center"/>
    </xf>
    <xf numFmtId="0" fontId="30" fillId="0" borderId="23" xfId="153" applyNumberFormat="1" applyFont="1" applyFill="1" applyBorder="1" applyAlignment="1">
      <alignment horizontal="left" vertical="center" wrapText="1"/>
    </xf>
    <xf numFmtId="3" fontId="30" fillId="0" borderId="23" xfId="79" applyNumberFormat="1" applyFont="1" applyFill="1" applyBorder="1" applyAlignment="1">
      <alignment horizontal="right" vertical="center"/>
    </xf>
    <xf numFmtId="166" fontId="30" fillId="0" borderId="23" xfId="79" applyNumberFormat="1" applyFont="1" applyFill="1" applyBorder="1" applyAlignment="1">
      <alignment horizontal="right" vertical="center"/>
    </xf>
    <xf numFmtId="184" fontId="30" fillId="0" borderId="23" xfId="79" applyNumberFormat="1" applyFont="1" applyFill="1" applyBorder="1" applyAlignment="1">
      <alignment vertical="center"/>
    </xf>
    <xf numFmtId="4" fontId="39" fillId="0" borderId="0" xfId="153" applyNumberFormat="1" applyFont="1" applyFill="1" applyAlignment="1">
      <alignment vertical="center"/>
    </xf>
    <xf numFmtId="0" fontId="39" fillId="0" borderId="0" xfId="153" applyFont="1" applyFill="1" applyAlignment="1">
      <alignment vertical="center"/>
    </xf>
    <xf numFmtId="166" fontId="28" fillId="0" borderId="23" xfId="79" applyNumberFormat="1" applyFont="1" applyFill="1" applyBorder="1" applyAlignment="1">
      <alignment vertical="center" wrapText="1"/>
    </xf>
    <xf numFmtId="166" fontId="28" fillId="0" borderId="23" xfId="79" applyNumberFormat="1" applyFont="1" applyFill="1" applyBorder="1" applyAlignment="1">
      <alignment horizontal="right" vertical="center" wrapText="1"/>
    </xf>
    <xf numFmtId="184" fontId="28" fillId="0" borderId="23" xfId="79" applyNumberFormat="1" applyFont="1" applyFill="1" applyBorder="1" applyAlignment="1">
      <alignment vertical="center" wrapText="1"/>
    </xf>
    <xf numFmtId="166" fontId="28" fillId="0" borderId="38" xfId="79" applyNumberFormat="1" applyFont="1" applyFill="1" applyBorder="1" applyAlignment="1">
      <alignment vertical="center" wrapText="1"/>
    </xf>
    <xf numFmtId="166" fontId="28" fillId="0" borderId="38" xfId="79" applyNumberFormat="1" applyFont="1" applyFill="1" applyBorder="1" applyAlignment="1">
      <alignment horizontal="right" vertical="center" wrapText="1"/>
    </xf>
    <xf numFmtId="184" fontId="28" fillId="0" borderId="38" xfId="79" applyNumberFormat="1" applyFont="1" applyFill="1" applyBorder="1" applyAlignment="1">
      <alignment vertical="center" wrapText="1"/>
    </xf>
    <xf numFmtId="166" fontId="28" fillId="0" borderId="52" xfId="79" applyNumberFormat="1" applyFont="1" applyFill="1" applyBorder="1" applyAlignment="1">
      <alignment vertical="center" wrapText="1"/>
    </xf>
    <xf numFmtId="166" fontId="28" fillId="0" borderId="52" xfId="79" applyNumberFormat="1" applyFont="1" applyFill="1" applyBorder="1" applyAlignment="1">
      <alignment horizontal="right" vertical="center" wrapText="1"/>
    </xf>
    <xf numFmtId="184" fontId="28" fillId="0" borderId="52" xfId="79" applyNumberFormat="1" applyFont="1" applyFill="1" applyBorder="1" applyAlignment="1">
      <alignment vertical="center" wrapText="1"/>
    </xf>
    <xf numFmtId="0" fontId="35" fillId="0" borderId="22" xfId="153" applyNumberFormat="1" applyFont="1" applyFill="1" applyBorder="1" applyAlignment="1">
      <alignment horizontal="right" vertical="center"/>
    </xf>
    <xf numFmtId="0" fontId="35" fillId="0" borderId="23" xfId="153" applyNumberFormat="1" applyFont="1" applyFill="1" applyBorder="1" applyAlignment="1">
      <alignment horizontal="left" vertical="center" wrapText="1"/>
    </xf>
    <xf numFmtId="3" fontId="30" fillId="0" borderId="23" xfId="153" applyNumberFormat="1" applyFont="1" applyFill="1" applyBorder="1" applyAlignment="1">
      <alignment vertical="center"/>
    </xf>
    <xf numFmtId="166" fontId="30" fillId="0" borderId="32" xfId="79" applyNumberFormat="1" applyFont="1" applyFill="1" applyBorder="1" applyAlignment="1">
      <alignment vertical="center"/>
    </xf>
    <xf numFmtId="166" fontId="30" fillId="0" borderId="32" xfId="79" applyNumberFormat="1" applyFont="1" applyFill="1" applyBorder="1" applyAlignment="1">
      <alignment horizontal="right" vertical="center"/>
    </xf>
    <xf numFmtId="3" fontId="30" fillId="0" borderId="32" xfId="153" applyNumberFormat="1" applyFont="1" applyFill="1" applyBorder="1" applyAlignment="1">
      <alignment vertical="center"/>
    </xf>
    <xf numFmtId="166" fontId="28" fillId="0" borderId="32" xfId="79" applyNumberFormat="1" applyFont="1" applyFill="1" applyBorder="1" applyAlignment="1">
      <alignment vertical="center" wrapText="1"/>
    </xf>
    <xf numFmtId="166" fontId="28" fillId="0" borderId="32" xfId="79" applyNumberFormat="1" applyFont="1" applyFill="1" applyBorder="1" applyAlignment="1">
      <alignment horizontal="right" vertical="center" wrapText="1"/>
    </xf>
    <xf numFmtId="166" fontId="30" fillId="0" borderId="23" xfId="79" applyNumberFormat="1" applyFont="1" applyFill="1" applyBorder="1" applyAlignment="1">
      <alignment vertical="center"/>
    </xf>
    <xf numFmtId="0" fontId="34" fillId="0" borderId="0" xfId="153" applyFont="1" applyFill="1" applyAlignment="1">
      <alignment horizontal="right" vertical="center"/>
    </xf>
    <xf numFmtId="0" fontId="34" fillId="0" borderId="0" xfId="153" applyFont="1" applyFill="1" applyAlignment="1">
      <alignment horizontal="center" vertical="center"/>
    </xf>
    <xf numFmtId="166" fontId="34" fillId="0" borderId="0" xfId="79" applyNumberFormat="1" applyFont="1" applyFill="1" applyAlignment="1">
      <alignment vertical="center"/>
    </xf>
    <xf numFmtId="185" fontId="34" fillId="0" borderId="0" xfId="79" applyNumberFormat="1" applyFont="1" applyFill="1" applyAlignment="1">
      <alignment vertical="center"/>
    </xf>
    <xf numFmtId="43" fontId="28" fillId="0" borderId="14" xfId="77" applyFont="1" applyFill="1" applyBorder="1" applyAlignment="1">
      <alignment horizontal="center" vertical="center" wrapText="1"/>
    </xf>
    <xf numFmtId="174" fontId="83" fillId="0" borderId="0" xfId="0" applyNumberFormat="1" applyFont="1" applyAlignment="1">
      <alignment vertical="center"/>
    </xf>
    <xf numFmtId="166" fontId="28" fillId="0" borderId="0" xfId="0" applyNumberFormat="1" applyFont="1" applyAlignment="1">
      <alignment vertical="center"/>
    </xf>
    <xf numFmtId="201" fontId="82" fillId="0" borderId="14" xfId="77" applyNumberFormat="1" applyFont="1" applyFill="1" applyBorder="1" applyAlignment="1">
      <alignment horizontal="center" vertical="center" wrapText="1"/>
    </xf>
    <xf numFmtId="201" fontId="82" fillId="0" borderId="14" xfId="0" applyNumberFormat="1" applyFont="1" applyFill="1" applyBorder="1" applyAlignment="1">
      <alignment horizontal="center" vertical="center" wrapText="1"/>
    </xf>
    <xf numFmtId="43" fontId="0" fillId="0" borderId="0" xfId="77" applyFont="1" applyFill="1"/>
    <xf numFmtId="0" fontId="105" fillId="0" borderId="14" xfId="0" applyFont="1" applyFill="1" applyBorder="1" applyAlignment="1">
      <alignment horizontal="center" wrapText="1"/>
    </xf>
    <xf numFmtId="49" fontId="105" fillId="0" borderId="14" xfId="0" applyNumberFormat="1" applyFont="1" applyFill="1" applyBorder="1" applyAlignment="1">
      <alignment horizontal="left" wrapText="1"/>
    </xf>
    <xf numFmtId="0" fontId="105" fillId="0" borderId="14" xfId="0" applyFont="1" applyFill="1" applyBorder="1" applyAlignment="1">
      <alignment horizontal="center" vertical="center" wrapText="1"/>
    </xf>
    <xf numFmtId="185" fontId="105" fillId="0" borderId="14" xfId="77" applyNumberFormat="1" applyFont="1" applyFill="1" applyBorder="1" applyAlignment="1">
      <alignment horizontal="center" vertical="center" wrapText="1"/>
    </xf>
    <xf numFmtId="184" fontId="82" fillId="0" borderId="14" xfId="77" applyNumberFormat="1" applyFont="1" applyFill="1" applyBorder="1"/>
    <xf numFmtId="184" fontId="82" fillId="0" borderId="14" xfId="77" applyNumberFormat="1" applyFont="1" applyFill="1" applyBorder="1" applyAlignment="1">
      <alignment vertical="center"/>
    </xf>
    <xf numFmtId="0" fontId="82" fillId="0" borderId="14" xfId="0" applyFont="1" applyFill="1" applyBorder="1" applyAlignment="1">
      <alignment horizontal="center" vertical="center"/>
    </xf>
    <xf numFmtId="185" fontId="82" fillId="0" borderId="14" xfId="77" applyNumberFormat="1" applyFont="1" applyFill="1" applyBorder="1" applyAlignment="1">
      <alignment horizontal="center" vertical="center"/>
    </xf>
    <xf numFmtId="0" fontId="105" fillId="0" borderId="14" xfId="0" applyFont="1" applyFill="1" applyBorder="1" applyAlignment="1">
      <alignment wrapText="1"/>
    </xf>
    <xf numFmtId="0" fontId="0" fillId="0" borderId="0" xfId="0" applyFill="1" applyAlignment="1">
      <alignment horizontal="center" vertical="center"/>
    </xf>
    <xf numFmtId="184" fontId="0" fillId="0" borderId="0" xfId="77" applyNumberFormat="1" applyFont="1" applyFill="1" applyAlignment="1">
      <alignment horizontal="center" vertical="center"/>
    </xf>
    <xf numFmtId="184" fontId="0" fillId="0" borderId="0" xfId="77" applyNumberFormat="1" applyFont="1" applyFill="1"/>
    <xf numFmtId="0" fontId="149" fillId="0" borderId="0" xfId="0" applyFont="1" applyFill="1"/>
    <xf numFmtId="166" fontId="30" fillId="0" borderId="14" xfId="77" applyNumberFormat="1" applyFont="1" applyFill="1" applyBorder="1" applyAlignment="1">
      <alignment horizontal="right" vertical="center"/>
    </xf>
    <xf numFmtId="166" fontId="28" fillId="0" borderId="14" xfId="77" applyNumberFormat="1" applyFont="1" applyFill="1" applyBorder="1" applyAlignment="1">
      <alignment horizontal="right" vertical="center"/>
    </xf>
    <xf numFmtId="2" fontId="30" fillId="0" borderId="14" xfId="0" applyNumberFormat="1" applyFont="1" applyFill="1" applyBorder="1" applyAlignment="1">
      <alignment horizontal="right" vertical="center"/>
    </xf>
    <xf numFmtId="2" fontId="28" fillId="0" borderId="14" xfId="0" applyNumberFormat="1" applyFont="1" applyFill="1" applyBorder="1" applyAlignment="1">
      <alignment horizontal="right" vertical="center"/>
    </xf>
    <xf numFmtId="167" fontId="28" fillId="0" borderId="14" xfId="0" applyNumberFormat="1" applyFont="1" applyFill="1" applyBorder="1" applyAlignment="1">
      <alignment horizontal="right" vertical="center"/>
    </xf>
    <xf numFmtId="0" fontId="30" fillId="0" borderId="75" xfId="0" applyFont="1" applyFill="1" applyBorder="1" applyAlignment="1">
      <alignment horizontal="center" vertical="center" wrapText="1"/>
    </xf>
    <xf numFmtId="166" fontId="30" fillId="0" borderId="47" xfId="77" applyNumberFormat="1" applyFont="1" applyFill="1" applyBorder="1" applyAlignment="1">
      <alignment horizontal="right" vertical="center"/>
    </xf>
    <xf numFmtId="166" fontId="28" fillId="0" borderId="47" xfId="77" applyNumberFormat="1" applyFont="1" applyFill="1" applyBorder="1" applyAlignment="1">
      <alignment horizontal="right" vertical="center"/>
    </xf>
    <xf numFmtId="2" fontId="30" fillId="0" borderId="47" xfId="0" applyNumberFormat="1" applyFont="1" applyFill="1" applyBorder="1" applyAlignment="1">
      <alignment horizontal="right" vertical="center"/>
    </xf>
    <xf numFmtId="167" fontId="28" fillId="0" borderId="47" xfId="0" applyNumberFormat="1" applyFont="1" applyFill="1" applyBorder="1" applyAlignment="1">
      <alignment horizontal="right" vertical="center"/>
    </xf>
    <xf numFmtId="167" fontId="30" fillId="0" borderId="14" xfId="0" applyNumberFormat="1" applyFont="1" applyFill="1" applyBorder="1" applyAlignment="1">
      <alignment horizontal="right" vertical="center"/>
    </xf>
    <xf numFmtId="43" fontId="30" fillId="0" borderId="14" xfId="77" applyNumberFormat="1" applyFont="1" applyFill="1" applyBorder="1" applyAlignment="1">
      <alignment vertical="center"/>
    </xf>
    <xf numFmtId="43" fontId="28" fillId="0" borderId="14" xfId="77" applyNumberFormat="1" applyFont="1" applyFill="1" applyBorder="1" applyAlignment="1">
      <alignment vertical="center"/>
    </xf>
    <xf numFmtId="166" fontId="28" fillId="0" borderId="38" xfId="77" applyNumberFormat="1" applyFont="1" applyFill="1" applyBorder="1" applyAlignment="1">
      <alignment horizontal="right" vertical="center" wrapText="1"/>
    </xf>
    <xf numFmtId="165" fontId="28" fillId="0" borderId="38" xfId="77" applyNumberFormat="1" applyFont="1" applyFill="1" applyBorder="1" applyAlignment="1">
      <alignment horizontal="right" vertical="center"/>
    </xf>
    <xf numFmtId="185" fontId="28" fillId="0" borderId="38" xfId="77" applyNumberFormat="1" applyFont="1" applyFill="1" applyBorder="1" applyAlignment="1">
      <alignment horizontal="right" vertical="center"/>
    </xf>
    <xf numFmtId="185" fontId="28" fillId="0" borderId="23" xfId="77" applyNumberFormat="1" applyFont="1" applyFill="1" applyBorder="1" applyAlignment="1">
      <alignment horizontal="right" vertical="center" wrapText="1"/>
    </xf>
    <xf numFmtId="184" fontId="30" fillId="0" borderId="23" xfId="79" applyNumberFormat="1" applyFont="1" applyFill="1" applyBorder="1" applyAlignment="1">
      <alignment horizontal="right" vertical="center"/>
    </xf>
    <xf numFmtId="185" fontId="28" fillId="0" borderId="23" xfId="79" applyNumberFormat="1" applyFont="1" applyFill="1" applyBorder="1" applyAlignment="1">
      <alignment horizontal="right" vertical="center" wrapText="1"/>
    </xf>
    <xf numFmtId="4" fontId="0" fillId="0" borderId="0" xfId="0" applyNumberFormat="1" applyFill="1"/>
    <xf numFmtId="166" fontId="30" fillId="0" borderId="23" xfId="77" applyNumberFormat="1" applyFont="1" applyFill="1" applyBorder="1" applyAlignment="1">
      <alignment horizontal="right" vertical="center"/>
    </xf>
    <xf numFmtId="185" fontId="30" fillId="0" borderId="23" xfId="79" applyNumberFormat="1" applyFont="1" applyFill="1" applyBorder="1" applyAlignment="1">
      <alignment horizontal="right" vertical="center"/>
    </xf>
    <xf numFmtId="166" fontId="30" fillId="0" borderId="32" xfId="77" applyNumberFormat="1" applyFont="1" applyFill="1" applyBorder="1" applyAlignment="1">
      <alignment horizontal="right" vertical="center"/>
    </xf>
    <xf numFmtId="0" fontId="28" fillId="0" borderId="0" xfId="0" applyFont="1" applyFill="1" applyAlignment="1">
      <alignment horizontal="center" vertical="center"/>
    </xf>
    <xf numFmtId="166" fontId="28" fillId="0" borderId="0" xfId="77" applyNumberFormat="1" applyFont="1" applyFill="1" applyAlignment="1">
      <alignment horizontal="right" vertical="center"/>
    </xf>
    <xf numFmtId="0" fontId="28" fillId="0" borderId="22" xfId="0" applyNumberFormat="1" applyFont="1" applyFill="1" applyBorder="1" applyAlignment="1">
      <alignment horizontal="center" vertical="center"/>
    </xf>
    <xf numFmtId="0" fontId="28" fillId="0" borderId="23" xfId="0" applyNumberFormat="1" applyFont="1" applyFill="1" applyBorder="1" applyAlignment="1">
      <alignment horizontal="left" vertical="center" wrapText="1"/>
    </xf>
    <xf numFmtId="3" fontId="28" fillId="0" borderId="23" xfId="77" applyNumberFormat="1" applyFont="1" applyFill="1" applyBorder="1" applyAlignment="1">
      <alignment horizontal="right" vertical="center"/>
    </xf>
    <xf numFmtId="165" fontId="28" fillId="0" borderId="32" xfId="77" applyNumberFormat="1" applyFont="1" applyFill="1" applyBorder="1" applyAlignment="1">
      <alignment horizontal="right" vertical="center"/>
    </xf>
    <xf numFmtId="174" fontId="28" fillId="0" borderId="32" xfId="0" applyNumberFormat="1" applyFont="1" applyFill="1" applyBorder="1" applyAlignment="1">
      <alignment horizontal="right" vertical="center"/>
    </xf>
    <xf numFmtId="4" fontId="28" fillId="0" borderId="33" xfId="0" applyNumberFormat="1" applyFont="1" applyFill="1" applyBorder="1" applyAlignment="1">
      <alignment horizontal="right" vertical="center"/>
    </xf>
    <xf numFmtId="0" fontId="28" fillId="0" borderId="37" xfId="0" applyNumberFormat="1" applyFont="1" applyFill="1" applyBorder="1" applyAlignment="1">
      <alignment horizontal="center" vertical="center"/>
    </xf>
    <xf numFmtId="0" fontId="28" fillId="0" borderId="38" xfId="0" applyNumberFormat="1" applyFont="1" applyFill="1" applyBorder="1" applyAlignment="1">
      <alignment horizontal="left" vertical="center" wrapText="1"/>
    </xf>
    <xf numFmtId="3" fontId="28" fillId="0" borderId="38" xfId="77" applyNumberFormat="1" applyFont="1" applyFill="1" applyBorder="1" applyAlignment="1">
      <alignment horizontal="right" vertical="center"/>
    </xf>
    <xf numFmtId="174" fontId="28" fillId="0" borderId="38" xfId="0" applyNumberFormat="1" applyFont="1" applyFill="1" applyBorder="1" applyAlignment="1">
      <alignment horizontal="right" vertical="center"/>
    </xf>
    <xf numFmtId="4" fontId="35" fillId="0" borderId="39" xfId="0" applyNumberFormat="1" applyFont="1" applyFill="1" applyBorder="1" applyAlignment="1">
      <alignment horizontal="right" vertical="center"/>
    </xf>
    <xf numFmtId="49" fontId="30" fillId="0" borderId="14" xfId="0" applyNumberFormat="1" applyFont="1" applyFill="1" applyBorder="1" applyAlignment="1">
      <alignment horizontal="right" vertical="center"/>
    </xf>
    <xf numFmtId="49" fontId="28" fillId="0" borderId="14" xfId="0" applyNumberFormat="1" applyFont="1" applyFill="1" applyBorder="1" applyAlignment="1">
      <alignment horizontal="right" vertical="center"/>
    </xf>
    <xf numFmtId="184" fontId="28" fillId="0" borderId="14" xfId="77" applyNumberFormat="1" applyFont="1" applyFill="1" applyBorder="1" applyAlignment="1">
      <alignment vertical="center"/>
    </xf>
    <xf numFmtId="185" fontId="30" fillId="0" borderId="14" xfId="79" applyNumberFormat="1" applyFont="1" applyFill="1" applyBorder="1" applyAlignment="1">
      <alignment vertical="center" wrapText="1"/>
    </xf>
    <xf numFmtId="4" fontId="30" fillId="0" borderId="14" xfId="153" applyNumberFormat="1" applyFont="1" applyFill="1" applyBorder="1" applyAlignment="1">
      <alignment horizontal="center" vertical="center" wrapText="1"/>
    </xf>
    <xf numFmtId="3" fontId="30" fillId="0" borderId="14" xfId="153" applyNumberFormat="1" applyFont="1" applyFill="1" applyBorder="1" applyAlignment="1">
      <alignment horizontal="center" vertical="center" wrapText="1"/>
    </xf>
    <xf numFmtId="0" fontId="35" fillId="0" borderId="14" xfId="153" applyNumberFormat="1" applyFont="1" applyFill="1" applyBorder="1" applyAlignment="1">
      <alignment horizontal="right" vertical="center"/>
    </xf>
    <xf numFmtId="0" fontId="35" fillId="0" borderId="14" xfId="153" applyNumberFormat="1" applyFont="1" applyFill="1" applyBorder="1" applyAlignment="1">
      <alignment horizontal="left" vertical="center" wrapText="1"/>
    </xf>
    <xf numFmtId="3" fontId="30" fillId="0" borderId="14" xfId="79" applyNumberFormat="1" applyFont="1" applyFill="1" applyBorder="1" applyAlignment="1">
      <alignment horizontal="right" vertical="center"/>
    </xf>
    <xf numFmtId="184" fontId="30" fillId="0" borderId="14" xfId="79" applyNumberFormat="1" applyFont="1" applyFill="1" applyBorder="1" applyAlignment="1">
      <alignment vertical="center"/>
    </xf>
    <xf numFmtId="4" fontId="30" fillId="0" borderId="14" xfId="153" applyNumberFormat="1" applyFont="1" applyFill="1" applyBorder="1" applyAlignment="1">
      <alignment horizontal="right" vertical="center"/>
    </xf>
    <xf numFmtId="166" fontId="28" fillId="0" borderId="14" xfId="79" applyNumberFormat="1" applyFont="1" applyFill="1" applyBorder="1" applyAlignment="1">
      <alignment vertical="center" wrapText="1"/>
    </xf>
    <xf numFmtId="166" fontId="28" fillId="0" borderId="14" xfId="79" applyNumberFormat="1" applyFont="1" applyFill="1" applyBorder="1" applyAlignment="1">
      <alignment horizontal="right" vertical="center" wrapText="1"/>
    </xf>
    <xf numFmtId="184" fontId="28" fillId="0" borderId="14" xfId="79" applyNumberFormat="1" applyFont="1" applyFill="1" applyBorder="1" applyAlignment="1">
      <alignment vertical="center" wrapText="1"/>
    </xf>
    <xf numFmtId="4" fontId="28" fillId="0" borderId="14" xfId="153" applyNumberFormat="1" applyFont="1" applyFill="1" applyBorder="1" applyAlignment="1">
      <alignment horizontal="right" vertical="center"/>
    </xf>
    <xf numFmtId="0" fontId="34" fillId="0" borderId="14" xfId="153" applyFont="1" applyFill="1" applyBorder="1" applyAlignment="1">
      <alignment horizontal="right" vertical="center"/>
    </xf>
    <xf numFmtId="0" fontId="34" fillId="0" borderId="14" xfId="153" applyFont="1" applyFill="1" applyBorder="1" applyAlignment="1">
      <alignment vertical="center"/>
    </xf>
    <xf numFmtId="0" fontId="34" fillId="0" borderId="14" xfId="153" applyFont="1" applyFill="1" applyBorder="1" applyAlignment="1">
      <alignment horizontal="center" vertical="center"/>
    </xf>
    <xf numFmtId="166" fontId="34" fillId="0" borderId="14" xfId="79" applyNumberFormat="1" applyFont="1" applyFill="1" applyBorder="1" applyAlignment="1">
      <alignment vertical="center"/>
    </xf>
    <xf numFmtId="185" fontId="34" fillId="0" borderId="14" xfId="79" applyNumberFormat="1" applyFont="1" applyFill="1" applyBorder="1" applyAlignment="1">
      <alignment vertical="center"/>
    </xf>
    <xf numFmtId="4" fontId="34" fillId="0" borderId="14" xfId="153" applyNumberFormat="1" applyFont="1" applyFill="1" applyBorder="1" applyAlignment="1">
      <alignment vertical="center"/>
    </xf>
    <xf numFmtId="0" fontId="34" fillId="0" borderId="0" xfId="0" applyFont="1" applyFill="1" applyAlignment="1">
      <alignment vertical="center"/>
    </xf>
    <xf numFmtId="43" fontId="28" fillId="0" borderId="0" xfId="78" applyNumberFormat="1" applyFont="1" applyFill="1" applyAlignment="1">
      <alignment horizontal="right" vertical="center"/>
    </xf>
    <xf numFmtId="173" fontId="83" fillId="0" borderId="0" xfId="0" applyNumberFormat="1" applyFont="1" applyFill="1" applyAlignment="1">
      <alignment horizontal="right" vertical="center"/>
    </xf>
    <xf numFmtId="3" fontId="28" fillId="0" borderId="0" xfId="0" applyNumberFormat="1" applyFont="1" applyFill="1" applyAlignment="1">
      <alignment vertical="center"/>
    </xf>
    <xf numFmtId="0" fontId="36" fillId="0" borderId="0" xfId="0" applyFont="1" applyFill="1" applyAlignment="1">
      <alignment horizontal="center" vertical="center" wrapText="1"/>
    </xf>
    <xf numFmtId="0" fontId="35" fillId="0" borderId="14" xfId="0" applyNumberFormat="1" applyFont="1" applyFill="1" applyBorder="1" applyAlignment="1">
      <alignment horizontal="center" vertical="center"/>
    </xf>
    <xf numFmtId="0" fontId="39" fillId="0" borderId="0" xfId="0" applyFont="1" applyFill="1" applyAlignment="1">
      <alignment vertical="center"/>
    </xf>
    <xf numFmtId="166" fontId="39" fillId="0" borderId="0" xfId="0" applyNumberFormat="1" applyFont="1" applyFill="1" applyAlignment="1">
      <alignment vertical="center"/>
    </xf>
    <xf numFmtId="0" fontId="28" fillId="0" borderId="14" xfId="0" applyFont="1" applyFill="1" applyBorder="1" applyAlignment="1">
      <alignment horizontal="center" wrapText="1"/>
    </xf>
    <xf numFmtId="166" fontId="28" fillId="0" borderId="14" xfId="78" applyNumberFormat="1" applyFont="1" applyFill="1" applyBorder="1" applyAlignment="1">
      <alignment horizontal="right" vertical="center"/>
    </xf>
    <xf numFmtId="174" fontId="28" fillId="0" borderId="14" xfId="0" applyNumberFormat="1" applyFont="1" applyFill="1" applyBorder="1" applyAlignment="1">
      <alignment horizontal="center" vertical="top" wrapText="1"/>
    </xf>
    <xf numFmtId="43" fontId="28" fillId="0" borderId="14" xfId="78" applyNumberFormat="1" applyFont="1" applyFill="1" applyBorder="1" applyAlignment="1">
      <alignment horizontal="right" vertical="center"/>
    </xf>
    <xf numFmtId="4" fontId="83" fillId="0" borderId="35" xfId="0" applyNumberFormat="1" applyFont="1" applyFill="1" applyBorder="1" applyAlignment="1">
      <alignment horizontal="right" vertical="center"/>
    </xf>
    <xf numFmtId="3" fontId="28" fillId="0" borderId="33" xfId="0" applyNumberFormat="1" applyFont="1" applyFill="1" applyBorder="1" applyAlignment="1">
      <alignment horizontal="right" vertical="center"/>
    </xf>
    <xf numFmtId="166" fontId="34" fillId="0" borderId="0" xfId="78" applyNumberFormat="1" applyFont="1" applyFill="1" applyAlignment="1">
      <alignment vertical="center"/>
    </xf>
    <xf numFmtId="4" fontId="83" fillId="0" borderId="66" xfId="0" applyNumberFormat="1" applyFont="1" applyFill="1" applyBorder="1" applyAlignment="1">
      <alignment horizontal="right" vertical="center"/>
    </xf>
    <xf numFmtId="3" fontId="35" fillId="0" borderId="39" xfId="0" applyNumberFormat="1" applyFont="1" applyFill="1" applyBorder="1" applyAlignment="1">
      <alignment horizontal="right" vertical="center"/>
    </xf>
    <xf numFmtId="0" fontId="28" fillId="0" borderId="0" xfId="0" applyFont="1" applyFill="1" applyBorder="1" applyAlignment="1">
      <alignment horizontal="center" wrapText="1"/>
    </xf>
    <xf numFmtId="166" fontId="28" fillId="0" borderId="0" xfId="78" applyNumberFormat="1" applyFont="1" applyFill="1" applyBorder="1" applyAlignment="1">
      <alignment horizontal="right" vertical="center"/>
    </xf>
    <xf numFmtId="174" fontId="28" fillId="0" borderId="0" xfId="0" applyNumberFormat="1" applyFont="1" applyFill="1" applyBorder="1" applyAlignment="1">
      <alignment horizontal="center" vertical="top" wrapText="1"/>
    </xf>
    <xf numFmtId="43" fontId="28" fillId="0" borderId="0" xfId="78" applyNumberFormat="1" applyFont="1" applyFill="1" applyBorder="1" applyAlignment="1">
      <alignment horizontal="right" vertical="center"/>
    </xf>
    <xf numFmtId="4" fontId="83" fillId="0" borderId="0" xfId="0" applyNumberFormat="1" applyFont="1" applyFill="1" applyBorder="1" applyAlignment="1">
      <alignment horizontal="right" vertical="center"/>
    </xf>
    <xf numFmtId="3" fontId="35" fillId="0" borderId="0" xfId="0" applyNumberFormat="1" applyFont="1" applyFill="1" applyBorder="1" applyAlignment="1">
      <alignment horizontal="right" vertical="center"/>
    </xf>
    <xf numFmtId="0" fontId="34" fillId="0" borderId="0" xfId="0" applyFont="1" applyFill="1" applyAlignment="1">
      <alignment horizontal="center" vertical="center"/>
    </xf>
    <xf numFmtId="43" fontId="28" fillId="0" borderId="14" xfId="77" applyNumberFormat="1" applyFont="1" applyFill="1" applyBorder="1" applyAlignment="1">
      <alignment horizontal="right" vertical="center"/>
    </xf>
    <xf numFmtId="0" fontId="30" fillId="0" borderId="0" xfId="0" applyFont="1" applyFill="1" applyAlignment="1">
      <alignment vertical="center"/>
    </xf>
    <xf numFmtId="43" fontId="34" fillId="0" borderId="0" xfId="78" applyNumberFormat="1" applyFont="1" applyFill="1" applyAlignment="1">
      <alignment vertical="center"/>
    </xf>
    <xf numFmtId="173" fontId="89" fillId="0" borderId="0" xfId="0" applyNumberFormat="1" applyFont="1" applyFill="1" applyAlignment="1">
      <alignment vertical="center"/>
    </xf>
    <xf numFmtId="3" fontId="34" fillId="0" borderId="0" xfId="0" applyNumberFormat="1" applyFont="1" applyFill="1" applyAlignment="1">
      <alignment vertical="center"/>
    </xf>
    <xf numFmtId="166" fontId="98" fillId="0" borderId="0" xfId="205" applyNumberFormat="1"/>
    <xf numFmtId="0" fontId="30" fillId="0" borderId="1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106" fillId="0" borderId="0" xfId="453"/>
    <xf numFmtId="0" fontId="5" fillId="0" borderId="0" xfId="453" quotePrefix="1" applyFont="1"/>
    <xf numFmtId="0" fontId="153" fillId="0" borderId="0" xfId="453" applyFont="1" applyBorder="1" applyAlignment="1"/>
    <xf numFmtId="0" fontId="30" fillId="0" borderId="0" xfId="453" applyFont="1" applyBorder="1" applyAlignment="1"/>
    <xf numFmtId="0" fontId="157" fillId="0" borderId="0" xfId="453" applyFont="1" applyBorder="1" applyAlignment="1"/>
    <xf numFmtId="0" fontId="158" fillId="0" borderId="0" xfId="453" applyFont="1"/>
    <xf numFmtId="0" fontId="159" fillId="0" borderId="0" xfId="453" applyFont="1" applyBorder="1" applyAlignment="1"/>
    <xf numFmtId="0" fontId="5" fillId="0" borderId="0" xfId="453" applyFont="1" applyBorder="1"/>
    <xf numFmtId="0" fontId="5" fillId="0" borderId="0" xfId="453" applyFont="1"/>
    <xf numFmtId="0" fontId="5" fillId="0" borderId="0" xfId="453" applyFont="1" applyAlignment="1">
      <alignment horizontal="center" vertical="center" wrapText="1"/>
    </xf>
    <xf numFmtId="0" fontId="91" fillId="0" borderId="14" xfId="453" applyFont="1" applyBorder="1" applyAlignment="1">
      <alignment horizontal="center"/>
    </xf>
    <xf numFmtId="0" fontId="91" fillId="0" borderId="14" xfId="453" applyFont="1" applyBorder="1"/>
    <xf numFmtId="0" fontId="91" fillId="0" borderId="25" xfId="453" applyFont="1" applyBorder="1"/>
    <xf numFmtId="166" fontId="160" fillId="0" borderId="25" xfId="454" applyNumberFormat="1" applyFont="1" applyBorder="1"/>
    <xf numFmtId="166" fontId="91" fillId="0" borderId="25" xfId="454" applyNumberFormat="1" applyFont="1" applyBorder="1"/>
    <xf numFmtId="166" fontId="164" fillId="0" borderId="25" xfId="454" applyNumberFormat="1" applyFont="1" applyBorder="1"/>
    <xf numFmtId="166" fontId="165" fillId="0" borderId="25" xfId="453" applyNumberFormat="1" applyFont="1" applyBorder="1"/>
    <xf numFmtId="3" fontId="166" fillId="0" borderId="0" xfId="453" applyNumberFormat="1" applyFont="1"/>
    <xf numFmtId="0" fontId="166" fillId="0" borderId="0" xfId="453" applyFont="1"/>
    <xf numFmtId="0" fontId="82" fillId="0" borderId="14" xfId="453" applyFont="1" applyFill="1" applyBorder="1" applyAlignment="1">
      <alignment horizontal="center"/>
    </xf>
    <xf numFmtId="0" fontId="82" fillId="0" borderId="14" xfId="453" applyFont="1" applyFill="1" applyBorder="1"/>
    <xf numFmtId="0" fontId="167" fillId="0" borderId="14" xfId="453" applyFont="1" applyFill="1" applyBorder="1"/>
    <xf numFmtId="0" fontId="168" fillId="0" borderId="14" xfId="453" applyFont="1" applyFill="1" applyBorder="1"/>
    <xf numFmtId="3" fontId="167" fillId="0" borderId="14" xfId="453" applyNumberFormat="1" applyFont="1" applyFill="1" applyBorder="1"/>
    <xf numFmtId="0" fontId="169" fillId="0" borderId="14" xfId="453" applyFont="1" applyFill="1" applyBorder="1"/>
    <xf numFmtId="3" fontId="169" fillId="0" borderId="14" xfId="453" applyNumberFormat="1" applyFont="1" applyFill="1" applyBorder="1"/>
    <xf numFmtId="4" fontId="169" fillId="0" borderId="14" xfId="453" applyNumberFormat="1" applyFont="1" applyFill="1" applyBorder="1"/>
    <xf numFmtId="0" fontId="170" fillId="0" borderId="14" xfId="453" applyFont="1" applyFill="1" applyBorder="1"/>
    <xf numFmtId="3" fontId="171" fillId="0" borderId="0" xfId="453" applyNumberFormat="1" applyFont="1" applyFill="1"/>
    <xf numFmtId="0" fontId="171" fillId="0" borderId="0" xfId="453" applyFont="1" applyFill="1"/>
    <xf numFmtId="3" fontId="172" fillId="0" borderId="0" xfId="453" applyNumberFormat="1" applyFont="1" applyFill="1"/>
    <xf numFmtId="0" fontId="173" fillId="0" borderId="0" xfId="453" applyFont="1" applyBorder="1"/>
    <xf numFmtId="0" fontId="174" fillId="0" borderId="0" xfId="453" applyFont="1" applyBorder="1"/>
    <xf numFmtId="0" fontId="175" fillId="0" borderId="0" xfId="453" applyFont="1" applyAlignment="1">
      <alignment horizontal="center" vertical="center"/>
    </xf>
    <xf numFmtId="0" fontId="106" fillId="0" borderId="0" xfId="453" applyFont="1"/>
    <xf numFmtId="0" fontId="163" fillId="0" borderId="0" xfId="455"/>
    <xf numFmtId="0" fontId="176" fillId="0" borderId="0" xfId="455" applyFont="1"/>
    <xf numFmtId="3" fontId="82" fillId="0" borderId="14" xfId="455" applyNumberFormat="1" applyFont="1" applyFill="1" applyBorder="1" applyAlignment="1">
      <alignment horizontal="right" vertical="center" wrapText="1"/>
    </xf>
    <xf numFmtId="166" fontId="82" fillId="0" borderId="14" xfId="77" applyNumberFormat="1" applyFont="1" applyFill="1" applyBorder="1" applyAlignment="1">
      <alignment horizontal="right" vertical="center" wrapText="1"/>
    </xf>
    <xf numFmtId="3" fontId="91" fillId="0" borderId="14" xfId="455" applyNumberFormat="1" applyFont="1" applyFill="1" applyBorder="1" applyAlignment="1">
      <alignment horizontal="right" vertical="center" wrapText="1"/>
    </xf>
    <xf numFmtId="166" fontId="91" fillId="0" borderId="14" xfId="77" applyNumberFormat="1" applyFont="1" applyFill="1" applyBorder="1" applyAlignment="1">
      <alignment horizontal="right" vertical="center" wrapText="1"/>
    </xf>
    <xf numFmtId="0" fontId="82" fillId="0" borderId="0" xfId="455" applyFont="1"/>
    <xf numFmtId="0" fontId="82" fillId="0" borderId="0" xfId="455" applyFont="1" applyFill="1"/>
    <xf numFmtId="3" fontId="177" fillId="0" borderId="0" xfId="455" applyNumberFormat="1" applyFont="1" applyFill="1" applyAlignment="1">
      <alignment horizontal="right"/>
    </xf>
    <xf numFmtId="4" fontId="82" fillId="0" borderId="0" xfId="455" applyNumberFormat="1" applyFont="1" applyFill="1" applyAlignment="1">
      <alignment horizontal="right"/>
    </xf>
    <xf numFmtId="0" fontId="113" fillId="0" borderId="14" xfId="455" applyFont="1" applyFill="1" applyBorder="1" applyAlignment="1">
      <alignment horizontal="center" vertical="center" wrapText="1"/>
    </xf>
    <xf numFmtId="3" fontId="113" fillId="0" borderId="14" xfId="455" applyNumberFormat="1" applyFont="1" applyFill="1" applyBorder="1" applyAlignment="1">
      <alignment horizontal="center" vertical="center" wrapText="1"/>
    </xf>
    <xf numFmtId="4" fontId="113" fillId="0" borderId="14" xfId="455" applyNumberFormat="1" applyFont="1" applyFill="1" applyBorder="1" applyAlignment="1">
      <alignment horizontal="center" vertical="center" wrapText="1"/>
    </xf>
    <xf numFmtId="0" fontId="91" fillId="0" borderId="14" xfId="206" applyFont="1" applyFill="1" applyBorder="1" applyAlignment="1">
      <alignment horizontal="center" vertical="center"/>
    </xf>
    <xf numFmtId="0" fontId="91" fillId="0" borderId="14" xfId="206" applyFont="1" applyFill="1" applyBorder="1" applyAlignment="1">
      <alignment horizontal="left" vertical="center" wrapText="1"/>
    </xf>
    <xf numFmtId="0" fontId="82" fillId="0" borderId="14" xfId="206" applyFont="1" applyFill="1" applyBorder="1" applyAlignment="1">
      <alignment horizontal="center" vertical="center"/>
    </xf>
    <xf numFmtId="0" fontId="82" fillId="0" borderId="14" xfId="206" applyFont="1" applyFill="1" applyBorder="1" applyAlignment="1">
      <alignment horizontal="left" vertical="center" wrapText="1"/>
    </xf>
    <xf numFmtId="3" fontId="82" fillId="0" borderId="14" xfId="455" applyNumberFormat="1" applyFont="1" applyFill="1" applyBorder="1" applyAlignment="1">
      <alignment horizontal="center" vertical="center" wrapText="1"/>
    </xf>
    <xf numFmtId="43" fontId="28" fillId="0" borderId="0" xfId="432" applyNumberFormat="1" applyFont="1" applyAlignment="1">
      <alignment horizontal="right" vertical="center"/>
    </xf>
    <xf numFmtId="166" fontId="30" fillId="0" borderId="14" xfId="432" applyNumberFormat="1" applyFont="1" applyFill="1" applyBorder="1" applyAlignment="1">
      <alignment horizontal="center" vertical="center" wrapText="1"/>
    </xf>
    <xf numFmtId="43" fontId="30" fillId="0" borderId="14" xfId="432" applyNumberFormat="1" applyFont="1" applyFill="1" applyBorder="1" applyAlignment="1">
      <alignment horizontal="center" vertical="center" wrapText="1"/>
    </xf>
    <xf numFmtId="4" fontId="35" fillId="0" borderId="14" xfId="432" applyNumberFormat="1" applyFont="1" applyFill="1" applyBorder="1" applyAlignment="1">
      <alignment horizontal="right" vertical="center"/>
    </xf>
    <xf numFmtId="43" fontId="35" fillId="0" borderId="14" xfId="432" applyNumberFormat="1" applyFont="1" applyFill="1" applyBorder="1" applyAlignment="1">
      <alignment horizontal="right" vertical="center"/>
    </xf>
    <xf numFmtId="43" fontId="28" fillId="0" borderId="14" xfId="432" applyNumberFormat="1" applyFont="1" applyBorder="1" applyAlignment="1">
      <alignment horizontal="right" vertical="center"/>
    </xf>
    <xf numFmtId="166" fontId="34" fillId="0" borderId="0" xfId="432" applyNumberFormat="1" applyFont="1" applyAlignment="1">
      <alignment vertical="center"/>
    </xf>
    <xf numFmtId="43" fontId="34" fillId="0" borderId="0" xfId="432" applyNumberFormat="1" applyFont="1" applyAlignment="1">
      <alignment vertical="center"/>
    </xf>
    <xf numFmtId="174" fontId="30" fillId="0" borderId="46" xfId="0" applyNumberFormat="1" applyFont="1" applyFill="1" applyBorder="1" applyAlignment="1">
      <alignment horizontal="center" vertical="center" wrapText="1"/>
    </xf>
    <xf numFmtId="174" fontId="28" fillId="0" borderId="33" xfId="0" applyNumberFormat="1" applyFont="1" applyBorder="1" applyAlignment="1">
      <alignment horizontal="right" vertical="center"/>
    </xf>
    <xf numFmtId="174" fontId="35" fillId="0" borderId="39" xfId="0" applyNumberFormat="1" applyFont="1" applyBorder="1" applyAlignment="1">
      <alignment horizontal="right" vertical="center"/>
    </xf>
    <xf numFmtId="166" fontId="34" fillId="0" borderId="0" xfId="77" applyNumberFormat="1" applyFont="1" applyAlignment="1">
      <alignment vertical="center"/>
    </xf>
    <xf numFmtId="174" fontId="34" fillId="0" borderId="0" xfId="0" applyNumberFormat="1" applyFont="1" applyAlignment="1">
      <alignment vertical="center"/>
    </xf>
    <xf numFmtId="0" fontId="28" fillId="0" borderId="0" xfId="206" applyFont="1" applyFill="1" applyAlignment="1">
      <alignment vertical="center"/>
    </xf>
    <xf numFmtId="43" fontId="28" fillId="0" borderId="0" xfId="207" applyFont="1" applyFill="1" applyAlignment="1">
      <alignment vertical="center"/>
    </xf>
    <xf numFmtId="0" fontId="28" fillId="0" borderId="0" xfId="206" applyFont="1" applyFill="1" applyAlignment="1">
      <alignment horizontal="center" vertical="center"/>
    </xf>
    <xf numFmtId="0" fontId="28" fillId="0" borderId="0" xfId="206" applyFont="1" applyFill="1" applyAlignment="1">
      <alignment vertical="center" wrapText="1"/>
    </xf>
    <xf numFmtId="0" fontId="107" fillId="0" borderId="0" xfId="206" applyFont="1" applyFill="1" applyAlignment="1">
      <alignment vertical="center"/>
    </xf>
    <xf numFmtId="0" fontId="91" fillId="0" borderId="0" xfId="206" applyFont="1" applyFill="1" applyAlignment="1">
      <alignment vertical="center"/>
    </xf>
    <xf numFmtId="0" fontId="108" fillId="0" borderId="14" xfId="206" applyFont="1" applyFill="1" applyBorder="1" applyAlignment="1">
      <alignment horizontal="center" vertical="center" wrapText="1"/>
    </xf>
    <xf numFmtId="0" fontId="108" fillId="0" borderId="14" xfId="206" applyFont="1" applyFill="1" applyBorder="1" applyAlignment="1">
      <alignment horizontal="justify" vertical="center" wrapText="1"/>
    </xf>
    <xf numFmtId="4" fontId="28" fillId="0" borderId="14" xfId="206" applyNumberFormat="1" applyFont="1" applyFill="1" applyBorder="1" applyAlignment="1">
      <alignment vertical="center"/>
    </xf>
    <xf numFmtId="3" fontId="28" fillId="0" borderId="14" xfId="206" applyNumberFormat="1" applyFont="1" applyFill="1" applyBorder="1" applyAlignment="1">
      <alignment vertical="center"/>
    </xf>
    <xf numFmtId="3" fontId="82" fillId="0" borderId="14" xfId="206" applyNumberFormat="1" applyFont="1" applyFill="1" applyBorder="1" applyAlignment="1">
      <alignment vertical="center"/>
    </xf>
    <xf numFmtId="3" fontId="109" fillId="0" borderId="14" xfId="206" applyNumberFormat="1" applyFont="1" applyFill="1" applyBorder="1" applyAlignment="1">
      <alignment vertical="center"/>
    </xf>
    <xf numFmtId="3" fontId="91" fillId="0" borderId="14" xfId="206" applyNumberFormat="1" applyFont="1" applyFill="1" applyBorder="1" applyAlignment="1">
      <alignment vertical="center"/>
    </xf>
    <xf numFmtId="0" fontId="28" fillId="0" borderId="14" xfId="206" applyFont="1" applyFill="1" applyBorder="1" applyAlignment="1">
      <alignment vertical="center"/>
    </xf>
    <xf numFmtId="167" fontId="34" fillId="0" borderId="0" xfId="0" applyNumberFormat="1" applyFont="1" applyAlignment="1">
      <alignment horizontal="center" vertical="center"/>
    </xf>
    <xf numFmtId="0" fontId="30" fillId="0" borderId="47" xfId="0" applyFont="1" applyFill="1" applyBorder="1" applyAlignment="1">
      <alignment horizontal="center" vertical="center" wrapText="1"/>
    </xf>
    <xf numFmtId="166" fontId="28" fillId="0" borderId="47" xfId="77" applyNumberFormat="1" applyFont="1" applyBorder="1" applyAlignment="1">
      <alignment vertical="center"/>
    </xf>
    <xf numFmtId="174" fontId="28" fillId="0" borderId="0" xfId="0" applyNumberFormat="1" applyFont="1" applyBorder="1" applyAlignment="1">
      <alignment vertical="center"/>
    </xf>
    <xf numFmtId="184" fontId="28" fillId="0" borderId="47" xfId="77" applyNumberFormat="1" applyFont="1" applyBorder="1" applyAlignment="1">
      <alignment vertical="center"/>
    </xf>
    <xf numFmtId="43" fontId="28" fillId="0" borderId="0" xfId="432" applyNumberFormat="1" applyFont="1" applyAlignment="1">
      <alignment vertical="center"/>
    </xf>
    <xf numFmtId="0" fontId="113" fillId="0" borderId="83" xfId="455" applyFont="1" applyFill="1" applyBorder="1" applyAlignment="1">
      <alignment horizontal="center" vertical="center" wrapText="1"/>
    </xf>
    <xf numFmtId="0" fontId="113" fillId="0" borderId="18" xfId="455" applyFont="1" applyFill="1" applyBorder="1" applyAlignment="1">
      <alignment horizontal="center" vertical="center" wrapText="1"/>
    </xf>
    <xf numFmtId="0" fontId="113" fillId="0" borderId="86" xfId="455" applyFont="1" applyFill="1" applyBorder="1" applyAlignment="1">
      <alignment horizontal="center" vertical="center" wrapText="1"/>
    </xf>
    <xf numFmtId="3" fontId="113" fillId="0" borderId="86" xfId="455" applyNumberFormat="1" applyFont="1" applyFill="1" applyBorder="1" applyAlignment="1">
      <alignment horizontal="center" vertical="center" wrapText="1"/>
    </xf>
    <xf numFmtId="4" fontId="113" fillId="0" borderId="86" xfId="455" applyNumberFormat="1" applyFont="1" applyFill="1" applyBorder="1" applyAlignment="1">
      <alignment horizontal="center" vertical="center" wrapText="1"/>
    </xf>
    <xf numFmtId="0" fontId="91" fillId="0" borderId="96" xfId="455" applyFont="1" applyFill="1" applyBorder="1" applyAlignment="1">
      <alignment horizontal="center" vertical="center" wrapText="1"/>
    </xf>
    <xf numFmtId="0" fontId="82" fillId="0" borderId="88" xfId="455" applyFont="1" applyFill="1" applyBorder="1" applyAlignment="1">
      <alignment horizontal="center" vertical="center" wrapText="1"/>
    </xf>
    <xf numFmtId="0" fontId="82" fillId="0" borderId="89" xfId="455" applyFont="1" applyFill="1" applyBorder="1" applyAlignment="1">
      <alignment horizontal="center" vertical="center" wrapText="1"/>
    </xf>
    <xf numFmtId="0" fontId="91" fillId="0" borderId="89" xfId="455" applyFont="1" applyFill="1" applyBorder="1" applyAlignment="1">
      <alignment horizontal="center" vertical="center" wrapText="1"/>
    </xf>
    <xf numFmtId="3" fontId="82" fillId="0" borderId="89" xfId="455" applyNumberFormat="1" applyFont="1" applyFill="1" applyBorder="1" applyAlignment="1">
      <alignment horizontal="right" vertical="center" wrapText="1"/>
    </xf>
    <xf numFmtId="0" fontId="91" fillId="0" borderId="97" xfId="455" applyFont="1" applyFill="1" applyBorder="1" applyAlignment="1">
      <alignment horizontal="center" vertical="center" wrapText="1"/>
    </xf>
    <xf numFmtId="0" fontId="82" fillId="0" borderId="92" xfId="455" applyFont="1" applyFill="1" applyBorder="1" applyAlignment="1">
      <alignment horizontal="center" vertical="center" wrapText="1"/>
    </xf>
    <xf numFmtId="0" fontId="91" fillId="0" borderId="92" xfId="455" applyFont="1" applyFill="1" applyBorder="1" applyAlignment="1">
      <alignment horizontal="center" vertical="center" wrapText="1"/>
    </xf>
    <xf numFmtId="0" fontId="91" fillId="0" borderId="99" xfId="455" applyFont="1" applyFill="1" applyBorder="1" applyAlignment="1">
      <alignment horizontal="center" vertical="center" wrapText="1"/>
    </xf>
    <xf numFmtId="0" fontId="91" fillId="0" borderId="88" xfId="455" applyFont="1" applyFill="1" applyBorder="1" applyAlignment="1">
      <alignment vertical="center" wrapText="1"/>
    </xf>
    <xf numFmtId="0" fontId="91" fillId="0" borderId="88" xfId="455" applyFont="1" applyFill="1" applyBorder="1" applyAlignment="1">
      <alignment horizontal="center" vertical="center" wrapText="1"/>
    </xf>
    <xf numFmtId="0" fontId="91" fillId="0" borderId="102" xfId="455" applyFont="1" applyFill="1" applyBorder="1" applyAlignment="1">
      <alignment horizontal="center" vertical="center" wrapText="1"/>
    </xf>
    <xf numFmtId="3" fontId="82" fillId="0" borderId="89" xfId="455" applyNumberFormat="1" applyFont="1" applyFill="1" applyBorder="1" applyAlignment="1">
      <alignment horizontal="center" vertical="center" wrapText="1"/>
    </xf>
    <xf numFmtId="0" fontId="91" fillId="0" borderId="102" xfId="455" applyFont="1" applyFill="1" applyBorder="1" applyAlignment="1">
      <alignment horizontal="center" vertical="center"/>
    </xf>
    <xf numFmtId="0" fontId="82" fillId="0" borderId="93" xfId="455" applyFont="1" applyFill="1" applyBorder="1" applyAlignment="1">
      <alignment horizontal="center" vertical="center" wrapText="1"/>
    </xf>
    <xf numFmtId="0" fontId="91" fillId="0" borderId="93" xfId="455" applyFont="1" applyFill="1" applyBorder="1" applyAlignment="1">
      <alignment horizontal="center" vertical="center" wrapText="1"/>
    </xf>
    <xf numFmtId="3" fontId="82" fillId="0" borderId="93" xfId="455" applyNumberFormat="1" applyFont="1" applyFill="1" applyBorder="1" applyAlignment="1">
      <alignment horizontal="right" vertical="center" wrapText="1"/>
    </xf>
    <xf numFmtId="0" fontId="82" fillId="0" borderId="107" xfId="455" applyFont="1" applyFill="1" applyBorder="1" applyAlignment="1">
      <alignment horizontal="center" vertical="center"/>
    </xf>
    <xf numFmtId="202" fontId="82" fillId="0" borderId="95" xfId="455" applyNumberFormat="1" applyFont="1" applyFill="1" applyBorder="1" applyAlignment="1">
      <alignment horizontal="center" vertical="center" wrapText="1"/>
    </xf>
    <xf numFmtId="0" fontId="82" fillId="0" borderId="95" xfId="455" applyFont="1" applyFill="1" applyBorder="1" applyAlignment="1">
      <alignment vertical="center" wrapText="1"/>
    </xf>
    <xf numFmtId="0" fontId="82" fillId="0" borderId="95" xfId="455" applyFont="1" applyFill="1" applyBorder="1" applyAlignment="1">
      <alignment horizontal="center" vertical="center"/>
    </xf>
    <xf numFmtId="0" fontId="82" fillId="0" borderId="95" xfId="455" applyFont="1" applyFill="1" applyBorder="1" applyAlignment="1">
      <alignment horizontal="center" vertical="center" wrapText="1"/>
    </xf>
    <xf numFmtId="3" fontId="82" fillId="0" borderId="95" xfId="455" applyNumberFormat="1" applyFont="1" applyFill="1" applyBorder="1" applyAlignment="1">
      <alignment horizontal="right" vertical="center" wrapText="1"/>
    </xf>
    <xf numFmtId="0" fontId="91" fillId="0" borderId="97" xfId="455" applyFont="1" applyFill="1" applyBorder="1" applyAlignment="1">
      <alignment horizontal="center" vertical="center"/>
    </xf>
    <xf numFmtId="0" fontId="82" fillId="0" borderId="92" xfId="455" applyFont="1" applyFill="1" applyBorder="1" applyAlignment="1">
      <alignment horizontal="center" vertical="center"/>
    </xf>
    <xf numFmtId="3" fontId="82" fillId="0" borderId="92" xfId="455" applyNumberFormat="1" applyFont="1" applyFill="1" applyBorder="1" applyAlignment="1">
      <alignment horizontal="right" vertical="center" wrapText="1"/>
    </xf>
    <xf numFmtId="0" fontId="91" fillId="0" borderId="99" xfId="455" applyFont="1" applyFill="1" applyBorder="1" applyAlignment="1">
      <alignment horizontal="center" vertical="center"/>
    </xf>
    <xf numFmtId="0" fontId="82" fillId="0" borderId="88" xfId="455" applyFont="1" applyFill="1" applyBorder="1" applyAlignment="1">
      <alignment horizontal="center" vertical="center"/>
    </xf>
    <xf numFmtId="3" fontId="82" fillId="0" borderId="88" xfId="455" applyNumberFormat="1" applyFont="1" applyFill="1" applyBorder="1" applyAlignment="1">
      <alignment horizontal="right" vertical="center" wrapText="1"/>
    </xf>
    <xf numFmtId="0" fontId="91" fillId="0" borderId="14" xfId="455" applyFont="1" applyFill="1" applyBorder="1" applyAlignment="1">
      <alignment horizontal="center" vertical="center"/>
    </xf>
    <xf numFmtId="0" fontId="82" fillId="0" borderId="14" xfId="455" applyFont="1" applyFill="1" applyBorder="1" applyAlignment="1">
      <alignment horizontal="center" vertical="center"/>
    </xf>
    <xf numFmtId="0" fontId="91" fillId="0" borderId="14" xfId="455" applyFont="1" applyFill="1" applyBorder="1" applyAlignment="1">
      <alignment horizontal="center" vertical="center" wrapText="1"/>
    </xf>
    <xf numFmtId="43" fontId="169" fillId="0" borderId="14" xfId="77" applyFont="1" applyFill="1" applyBorder="1"/>
    <xf numFmtId="3" fontId="82" fillId="0" borderId="0" xfId="455" applyNumberFormat="1" applyFont="1" applyFill="1" applyAlignment="1">
      <alignment horizontal="right"/>
    </xf>
    <xf numFmtId="3" fontId="82" fillId="0" borderId="92" xfId="455" applyNumberFormat="1" applyFont="1" applyFill="1" applyBorder="1" applyAlignment="1">
      <alignment horizontal="right" vertical="center"/>
    </xf>
    <xf numFmtId="3" fontId="82" fillId="0" borderId="88" xfId="455" applyNumberFormat="1" applyFont="1" applyFill="1" applyBorder="1" applyAlignment="1">
      <alignment horizontal="right" vertical="center"/>
    </xf>
    <xf numFmtId="3" fontId="82" fillId="0" borderId="14" xfId="455" applyNumberFormat="1" applyFont="1" applyFill="1" applyBorder="1" applyAlignment="1">
      <alignment horizontal="right" vertical="center"/>
    </xf>
    <xf numFmtId="3" fontId="163" fillId="0" borderId="0" xfId="455" applyNumberFormat="1"/>
    <xf numFmtId="3" fontId="176" fillId="0" borderId="0" xfId="455" applyNumberFormat="1" applyFont="1"/>
    <xf numFmtId="3" fontId="92" fillId="0" borderId="70" xfId="79" applyNumberFormat="1" applyFont="1" applyBorder="1" applyAlignment="1">
      <alignment horizontal="right" vertical="center"/>
    </xf>
    <xf numFmtId="3" fontId="113" fillId="0" borderId="84" xfId="455" applyNumberFormat="1" applyFont="1" applyFill="1" applyBorder="1" applyAlignment="1">
      <alignment horizontal="center" vertical="center" wrapText="1"/>
    </xf>
    <xf numFmtId="3" fontId="113" fillId="0" borderId="87" xfId="455" applyNumberFormat="1" applyFont="1" applyFill="1" applyBorder="1" applyAlignment="1">
      <alignment horizontal="center" vertical="center" wrapText="1"/>
    </xf>
    <xf numFmtId="3" fontId="82" fillId="0" borderId="90" xfId="455" applyNumberFormat="1" applyFont="1" applyFill="1" applyBorder="1" applyAlignment="1">
      <alignment horizontal="right" vertical="center"/>
    </xf>
    <xf numFmtId="3" fontId="91" fillId="0" borderId="91" xfId="455" applyNumberFormat="1" applyFont="1" applyFill="1" applyBorder="1" applyAlignment="1">
      <alignment horizontal="right" vertical="center"/>
    </xf>
    <xf numFmtId="3" fontId="113" fillId="0" borderId="89" xfId="455" applyNumberFormat="1" applyFont="1" applyFill="1" applyBorder="1" applyAlignment="1">
      <alignment horizontal="right" vertical="center" wrapText="1"/>
    </xf>
    <xf numFmtId="3" fontId="82" fillId="0" borderId="91" xfId="455" applyNumberFormat="1" applyFont="1" applyFill="1" applyBorder="1" applyAlignment="1">
      <alignment horizontal="right" vertical="center"/>
    </xf>
    <xf numFmtId="3" fontId="82" fillId="0" borderId="15" xfId="455" applyNumberFormat="1" applyFont="1" applyFill="1" applyBorder="1" applyAlignment="1">
      <alignment horizontal="right" vertical="center"/>
    </xf>
    <xf numFmtId="3" fontId="91" fillId="0" borderId="94" xfId="455" applyNumberFormat="1" applyFont="1" applyFill="1" applyBorder="1" applyAlignment="1">
      <alignment horizontal="right" vertical="center"/>
    </xf>
    <xf numFmtId="3" fontId="91" fillId="0" borderId="14" xfId="455" applyNumberFormat="1" applyFont="1" applyFill="1" applyBorder="1" applyAlignment="1">
      <alignment horizontal="right" vertical="center"/>
    </xf>
    <xf numFmtId="3" fontId="92" fillId="0" borderId="0" xfId="79" applyNumberFormat="1" applyFont="1" applyBorder="1" applyAlignment="1">
      <alignment horizontal="right" vertical="center"/>
    </xf>
    <xf numFmtId="0" fontId="28" fillId="0" borderId="14" xfId="0" applyFont="1" applyFill="1" applyBorder="1" applyAlignment="1">
      <alignment vertical="center" wrapText="1"/>
    </xf>
    <xf numFmtId="0" fontId="32"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62" xfId="0" applyFont="1" applyFill="1" applyBorder="1" applyAlignment="1">
      <alignment horizontal="center" vertical="center" wrapText="1"/>
    </xf>
    <xf numFmtId="166" fontId="98" fillId="0" borderId="0" xfId="77" applyNumberFormat="1" applyFont="1"/>
    <xf numFmtId="3" fontId="28" fillId="0" borderId="14" xfId="0" applyNumberFormat="1" applyFont="1" applyFill="1" applyBorder="1" applyAlignment="1">
      <alignment horizontal="right" vertical="center"/>
    </xf>
    <xf numFmtId="3" fontId="34" fillId="0" borderId="0" xfId="0" applyNumberFormat="1" applyFont="1" applyFill="1" applyAlignment="1">
      <alignment horizontal="right"/>
    </xf>
    <xf numFmtId="3" fontId="30" fillId="0" borderId="63" xfId="0" applyNumberFormat="1" applyFont="1" applyFill="1" applyBorder="1" applyAlignment="1">
      <alignment horizontal="right" vertical="center" wrapText="1"/>
    </xf>
    <xf numFmtId="3" fontId="30" fillId="0" borderId="14" xfId="0" applyNumberFormat="1" applyFont="1" applyFill="1" applyBorder="1" applyAlignment="1">
      <alignment horizontal="right"/>
    </xf>
    <xf numFmtId="3" fontId="32" fillId="0" borderId="14" xfId="0" applyNumberFormat="1" applyFont="1" applyFill="1" applyBorder="1" applyAlignment="1">
      <alignment horizontal="right" vertical="center"/>
    </xf>
    <xf numFmtId="3" fontId="28" fillId="0" borderId="0" xfId="0" applyNumberFormat="1" applyFont="1" applyFill="1" applyAlignment="1">
      <alignment horizontal="right"/>
    </xf>
    <xf numFmtId="0" fontId="28" fillId="0" borderId="14" xfId="0" applyFont="1" applyFill="1" applyBorder="1" applyAlignment="1">
      <alignment horizontal="left" vertical="center" wrapText="1"/>
    </xf>
    <xf numFmtId="0" fontId="30" fillId="0" borderId="14" xfId="0" applyFont="1" applyBorder="1" applyAlignment="1">
      <alignment horizontal="right" vertical="center"/>
    </xf>
    <xf numFmtId="0" fontId="28" fillId="0" borderId="14" xfId="0" applyFont="1" applyBorder="1" applyAlignment="1">
      <alignment horizontal="right" vertical="center"/>
    </xf>
    <xf numFmtId="0" fontId="32" fillId="0" borderId="14" xfId="0" applyFont="1" applyBorder="1" applyAlignment="1">
      <alignment horizontal="right" vertical="center"/>
    </xf>
    <xf numFmtId="0" fontId="32" fillId="0" borderId="14" xfId="0" applyFont="1" applyBorder="1" applyAlignment="1">
      <alignment vertical="center" wrapText="1"/>
    </xf>
    <xf numFmtId="0" fontId="32" fillId="0" borderId="14" xfId="0" applyFont="1" applyBorder="1" applyAlignment="1">
      <alignment horizontal="center" vertical="center"/>
    </xf>
    <xf numFmtId="167" fontId="32" fillId="0" borderId="14" xfId="0" applyNumberFormat="1" applyFont="1" applyBorder="1" applyAlignment="1">
      <alignment vertical="center"/>
    </xf>
    <xf numFmtId="167" fontId="30" fillId="0" borderId="14" xfId="0" applyNumberFormat="1" applyFont="1" applyBorder="1" applyAlignment="1">
      <alignment horizontal="right" vertical="center"/>
    </xf>
    <xf numFmtId="0" fontId="30" fillId="0" borderId="16" xfId="153" applyFont="1" applyFill="1" applyBorder="1" applyAlignment="1">
      <alignment horizontal="center" vertical="center" wrapText="1"/>
    </xf>
    <xf numFmtId="166" fontId="30" fillId="0" borderId="16" xfId="79" applyNumberFormat="1" applyFont="1" applyFill="1" applyBorder="1" applyAlignment="1">
      <alignment horizontal="center" vertical="center" wrapText="1"/>
    </xf>
    <xf numFmtId="185" fontId="30" fillId="0" borderId="16" xfId="79" applyNumberFormat="1" applyFont="1" applyFill="1" applyBorder="1" applyAlignment="1">
      <alignment vertical="center" wrapText="1"/>
    </xf>
    <xf numFmtId="4" fontId="30" fillId="0" borderId="33" xfId="153" applyNumberFormat="1" applyFont="1" applyFill="1" applyBorder="1" applyAlignment="1">
      <alignment horizontal="center" vertical="center" wrapText="1"/>
    </xf>
    <xf numFmtId="4" fontId="30" fillId="0" borderId="0" xfId="153" applyNumberFormat="1" applyFont="1" applyFill="1" applyBorder="1" applyAlignment="1">
      <alignment horizontal="center" vertical="center" wrapText="1"/>
    </xf>
    <xf numFmtId="0" fontId="28" fillId="0" borderId="19" xfId="153" applyFont="1" applyFill="1" applyBorder="1" applyAlignment="1">
      <alignment horizontal="right" vertical="center" wrapText="1"/>
    </xf>
    <xf numFmtId="0" fontId="28" fillId="0" borderId="16" xfId="153" applyFont="1" applyFill="1" applyBorder="1" applyAlignment="1">
      <alignment horizontal="center" vertical="center" wrapText="1"/>
    </xf>
    <xf numFmtId="166" fontId="28" fillId="0" borderId="16" xfId="79" applyNumberFormat="1" applyFont="1" applyFill="1" applyBorder="1" applyAlignment="1">
      <alignment horizontal="center" vertical="center" wrapText="1"/>
    </xf>
    <xf numFmtId="0" fontId="28" fillId="0" borderId="16" xfId="153" applyFont="1" applyFill="1" applyBorder="1" applyAlignment="1">
      <alignment horizontal="left" vertical="center" wrapText="1"/>
    </xf>
    <xf numFmtId="166" fontId="28" fillId="0" borderId="16" xfId="79" applyNumberFormat="1" applyFont="1" applyFill="1" applyBorder="1" applyAlignment="1">
      <alignment horizontal="left" vertical="center" wrapText="1"/>
    </xf>
    <xf numFmtId="0" fontId="32" fillId="0" borderId="19" xfId="153" applyFont="1" applyFill="1" applyBorder="1" applyAlignment="1">
      <alignment horizontal="right" vertical="center" wrapText="1"/>
    </xf>
    <xf numFmtId="0" fontId="32" fillId="0" borderId="16" xfId="153" applyFont="1" applyFill="1" applyBorder="1" applyAlignment="1">
      <alignment horizontal="left" vertical="center" wrapText="1"/>
    </xf>
    <xf numFmtId="0" fontId="28" fillId="0" borderId="26" xfId="153" applyFont="1" applyFill="1" applyBorder="1" applyAlignment="1">
      <alignment horizontal="right" vertical="center" wrapText="1"/>
    </xf>
    <xf numFmtId="0" fontId="28" fillId="0" borderId="14" xfId="153" applyFont="1" applyFill="1" applyBorder="1" applyAlignment="1">
      <alignment horizontal="left" vertical="center" wrapText="1"/>
    </xf>
    <xf numFmtId="4" fontId="30" fillId="0" borderId="27" xfId="153" applyNumberFormat="1" applyFont="1" applyFill="1" applyBorder="1" applyAlignment="1">
      <alignment horizontal="center" vertical="center" wrapText="1"/>
    </xf>
    <xf numFmtId="166" fontId="28" fillId="0" borderId="14" xfId="79" applyNumberFormat="1" applyFont="1" applyBorder="1" applyAlignment="1">
      <alignment vertical="center" wrapText="1"/>
    </xf>
    <xf numFmtId="166" fontId="28" fillId="0" borderId="14" xfId="79" applyNumberFormat="1" applyFont="1" applyBorder="1" applyAlignment="1">
      <alignment horizontal="right" vertical="center" wrapText="1"/>
    </xf>
    <xf numFmtId="4" fontId="28" fillId="0" borderId="27" xfId="153" applyNumberFormat="1" applyFont="1" applyBorder="1" applyAlignment="1">
      <alignment horizontal="right" vertical="center"/>
    </xf>
    <xf numFmtId="167" fontId="34" fillId="0" borderId="0" xfId="0" applyNumberFormat="1" applyFont="1" applyAlignment="1">
      <alignment vertical="center"/>
    </xf>
    <xf numFmtId="165" fontId="28" fillId="0" borderId="14" xfId="77" applyNumberFormat="1" applyFont="1" applyBorder="1" applyAlignment="1">
      <alignment vertical="center"/>
    </xf>
    <xf numFmtId="203" fontId="30" fillId="0" borderId="14" xfId="0" applyNumberFormat="1" applyFont="1" applyBorder="1" applyAlignment="1">
      <alignment horizontal="right" vertical="center"/>
    </xf>
    <xf numFmtId="184" fontId="30" fillId="0" borderId="14" xfId="77" applyNumberFormat="1" applyFont="1" applyBorder="1" applyAlignment="1">
      <alignment vertical="center"/>
    </xf>
    <xf numFmtId="3" fontId="30" fillId="0" borderId="32" xfId="206" applyNumberFormat="1" applyFont="1" applyFill="1" applyBorder="1" applyAlignment="1">
      <alignment vertical="center"/>
    </xf>
    <xf numFmtId="0" fontId="30" fillId="0" borderId="32" xfId="206" applyFont="1" applyFill="1" applyBorder="1" applyAlignment="1">
      <alignment horizontal="center" vertical="center" wrapText="1"/>
    </xf>
    <xf numFmtId="0" fontId="30" fillId="0" borderId="32" xfId="206" applyFont="1" applyFill="1" applyBorder="1" applyAlignment="1">
      <alignment horizontal="justify" vertical="center" wrapText="1"/>
    </xf>
    <xf numFmtId="0" fontId="163" fillId="0" borderId="14" xfId="455" applyBorder="1"/>
    <xf numFmtId="3" fontId="163" fillId="0" borderId="14" xfId="455" applyNumberFormat="1" applyBorder="1"/>
    <xf numFmtId="3" fontId="91" fillId="0" borderId="94" xfId="455" applyNumberFormat="1" applyFont="1" applyFill="1" applyBorder="1" applyAlignment="1">
      <alignment horizontal="right" vertical="center"/>
    </xf>
    <xf numFmtId="185" fontId="28" fillId="0" borderId="14" xfId="77" applyNumberFormat="1" applyFont="1" applyBorder="1" applyAlignment="1">
      <alignment vertical="center"/>
    </xf>
    <xf numFmtId="0" fontId="91" fillId="0" borderId="14" xfId="0" applyFont="1" applyBorder="1" applyAlignment="1">
      <alignment horizontal="center" vertical="center"/>
    </xf>
    <xf numFmtId="0" fontId="91" fillId="0" borderId="14" xfId="0" applyFont="1" applyBorder="1" applyAlignment="1">
      <alignment horizontal="center" vertical="center" wrapText="1"/>
    </xf>
    <xf numFmtId="0" fontId="91" fillId="0" borderId="15" xfId="455" applyFont="1" applyFill="1" applyBorder="1" applyAlignment="1">
      <alignment horizontal="center" vertical="center"/>
    </xf>
    <xf numFmtId="0" fontId="82" fillId="0" borderId="15" xfId="455" applyFont="1" applyFill="1" applyBorder="1"/>
    <xf numFmtId="3" fontId="147" fillId="0" borderId="15" xfId="455" applyNumberFormat="1" applyFont="1" applyFill="1" applyBorder="1" applyAlignment="1">
      <alignment horizontal="right"/>
    </xf>
    <xf numFmtId="3" fontId="82" fillId="0" borderId="15" xfId="455" applyNumberFormat="1" applyFont="1" applyFill="1" applyBorder="1" applyAlignment="1">
      <alignment horizontal="right"/>
    </xf>
    <xf numFmtId="3" fontId="91" fillId="0" borderId="15" xfId="455" applyNumberFormat="1" applyFont="1" applyFill="1" applyBorder="1" applyAlignment="1">
      <alignment horizontal="right"/>
    </xf>
    <xf numFmtId="0" fontId="28" fillId="0" borderId="14" xfId="455" applyFont="1" applyFill="1" applyBorder="1" applyAlignment="1">
      <alignment horizontal="center"/>
    </xf>
    <xf numFmtId="0" fontId="28" fillId="0" borderId="14" xfId="455" applyFont="1" applyFill="1" applyBorder="1"/>
    <xf numFmtId="3" fontId="28" fillId="0" borderId="14" xfId="455" applyNumberFormat="1" applyFont="1" applyFill="1" applyBorder="1" applyAlignment="1">
      <alignment horizontal="right"/>
    </xf>
    <xf numFmtId="3" fontId="91" fillId="0" borderId="14" xfId="455" applyNumberFormat="1" applyFont="1" applyFill="1" applyBorder="1" applyAlignment="1">
      <alignment horizontal="right"/>
    </xf>
    <xf numFmtId="3" fontId="91" fillId="0" borderId="14" xfId="455" applyNumberFormat="1" applyFont="1" applyBorder="1"/>
    <xf numFmtId="0" fontId="176" fillId="0" borderId="14" xfId="455" applyFont="1" applyBorder="1" applyAlignment="1">
      <alignment horizontal="center"/>
    </xf>
    <xf numFmtId="3" fontId="176" fillId="0" borderId="14" xfId="455" applyNumberFormat="1" applyFont="1" applyBorder="1"/>
    <xf numFmtId="165" fontId="30" fillId="0" borderId="14" xfId="77" applyNumberFormat="1" applyFont="1" applyBorder="1" applyAlignment="1">
      <alignment vertical="center"/>
    </xf>
    <xf numFmtId="0" fontId="97" fillId="0" borderId="1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5" fillId="0" borderId="25" xfId="0" applyFont="1" applyFill="1" applyBorder="1" applyAlignment="1">
      <alignment vertical="center" wrapText="1"/>
    </xf>
    <xf numFmtId="0" fontId="30" fillId="0" borderId="25" xfId="0" applyFont="1" applyFill="1" applyBorder="1" applyAlignment="1">
      <alignment horizontal="center" vertical="center" wrapText="1"/>
    </xf>
    <xf numFmtId="0" fontId="30" fillId="0" borderId="14" xfId="0" applyFont="1" applyBorder="1" applyAlignment="1">
      <alignment horizontal="center" vertical="center" wrapText="1"/>
    </xf>
    <xf numFmtId="184" fontId="38" fillId="0" borderId="0" xfId="0" applyNumberFormat="1" applyFont="1" applyAlignment="1">
      <alignment vertical="center"/>
    </xf>
    <xf numFmtId="0" fontId="32" fillId="0" borderId="14" xfId="0" applyNumberFormat="1" applyFont="1" applyFill="1" applyBorder="1" applyAlignment="1">
      <alignment horizontal="center" vertical="center" wrapText="1"/>
    </xf>
    <xf numFmtId="43" fontId="36" fillId="0" borderId="0" xfId="78" applyNumberFormat="1" applyFont="1" applyAlignment="1">
      <alignment vertical="center"/>
    </xf>
    <xf numFmtId="173" fontId="178" fillId="0" borderId="0" xfId="0" applyNumberFormat="1" applyFont="1" applyAlignment="1">
      <alignment vertical="center"/>
    </xf>
    <xf numFmtId="3" fontId="36" fillId="0" borderId="0" xfId="0" applyNumberFormat="1" applyFont="1" applyAlignment="1">
      <alignment vertical="center"/>
    </xf>
    <xf numFmtId="0" fontId="36" fillId="0" borderId="0" xfId="0" applyFont="1" applyAlignment="1">
      <alignment vertical="center"/>
    </xf>
    <xf numFmtId="0" fontId="30" fillId="0" borderId="14" xfId="0" applyFont="1" applyBorder="1" applyAlignment="1">
      <alignment horizontal="left" vertical="center" wrapText="1"/>
    </xf>
    <xf numFmtId="3" fontId="32" fillId="0" borderId="14" xfId="0" applyNumberFormat="1" applyFont="1" applyFill="1" applyBorder="1" applyAlignment="1">
      <alignment horizontal="center" vertical="center" wrapText="1"/>
    </xf>
    <xf numFmtId="3" fontId="28" fillId="0" borderId="54" xfId="0" applyNumberFormat="1" applyFont="1" applyFill="1" applyBorder="1" applyAlignment="1">
      <alignment horizontal="center" vertical="center" wrapText="1"/>
    </xf>
    <xf numFmtId="3" fontId="30" fillId="0" borderId="14" xfId="0" applyNumberFormat="1" applyFont="1" applyFill="1" applyBorder="1" applyAlignment="1">
      <alignment horizontal="center" vertical="center"/>
    </xf>
    <xf numFmtId="1" fontId="30" fillId="0" borderId="14" xfId="0" applyNumberFormat="1" applyFont="1" applyBorder="1" applyAlignment="1">
      <alignment horizontal="right" vertical="center"/>
    </xf>
    <xf numFmtId="1" fontId="28" fillId="0" borderId="14" xfId="0" applyNumberFormat="1" applyFont="1" applyBorder="1" applyAlignment="1">
      <alignment vertical="center"/>
    </xf>
    <xf numFmtId="1" fontId="30" fillId="0" borderId="14" xfId="0" applyNumberFormat="1" applyFont="1" applyBorder="1" applyAlignment="1">
      <alignment vertical="center"/>
    </xf>
    <xf numFmtId="1" fontId="38" fillId="0" borderId="0" xfId="0" applyNumberFormat="1" applyFont="1" applyAlignment="1">
      <alignment vertical="center"/>
    </xf>
    <xf numFmtId="204" fontId="28" fillId="0" borderId="14" xfId="0" applyNumberFormat="1" applyFont="1" applyBorder="1" applyAlignment="1">
      <alignment horizontal="right" vertical="center"/>
    </xf>
    <xf numFmtId="3" fontId="28" fillId="0" borderId="33" xfId="153" applyNumberFormat="1" applyFont="1" applyBorder="1" applyAlignment="1">
      <alignment horizontal="right" vertical="center"/>
    </xf>
    <xf numFmtId="3" fontId="28" fillId="0" borderId="33" xfId="153" applyNumberFormat="1" applyFont="1" applyFill="1" applyBorder="1" applyAlignment="1">
      <alignment horizontal="right" vertical="center" wrapText="1"/>
    </xf>
    <xf numFmtId="3" fontId="30" fillId="0" borderId="33" xfId="153" applyNumberFormat="1" applyFont="1" applyFill="1" applyBorder="1" applyAlignment="1">
      <alignment horizontal="right" vertical="center" wrapText="1"/>
    </xf>
    <xf numFmtId="43" fontId="28" fillId="0" borderId="16" xfId="79" applyNumberFormat="1" applyFont="1" applyFill="1" applyBorder="1" applyAlignment="1">
      <alignment vertical="center" wrapText="1"/>
    </xf>
    <xf numFmtId="43" fontId="28" fillId="0" borderId="23" xfId="79" applyNumberFormat="1" applyFont="1" applyBorder="1" applyAlignment="1">
      <alignment vertical="center" wrapText="1"/>
    </xf>
    <xf numFmtId="43" fontId="28" fillId="0" borderId="38" xfId="79" applyNumberFormat="1" applyFont="1" applyBorder="1" applyAlignment="1">
      <alignment vertical="center" wrapText="1"/>
    </xf>
    <xf numFmtId="43" fontId="28" fillId="0" borderId="16" xfId="79" applyNumberFormat="1" applyFont="1" applyFill="1" applyBorder="1" applyAlignment="1">
      <alignment horizontal="left" vertical="center" wrapText="1"/>
    </xf>
    <xf numFmtId="43" fontId="30" fillId="0" borderId="16" xfId="79" applyNumberFormat="1" applyFont="1" applyFill="1" applyBorder="1" applyAlignment="1">
      <alignment vertical="center" wrapText="1"/>
    </xf>
    <xf numFmtId="43" fontId="28" fillId="0" borderId="32" xfId="79" applyNumberFormat="1" applyFont="1" applyBorder="1" applyAlignment="1">
      <alignment vertical="center"/>
    </xf>
    <xf numFmtId="43" fontId="28" fillId="0" borderId="16" xfId="79" applyNumberFormat="1" applyFont="1" applyBorder="1" applyAlignment="1">
      <alignment vertical="center"/>
    </xf>
    <xf numFmtId="167" fontId="0" fillId="0" borderId="0" xfId="0" applyNumberFormat="1" applyAlignment="1">
      <alignment wrapText="1"/>
    </xf>
    <xf numFmtId="0" fontId="28" fillId="0" borderId="16" xfId="0" applyFont="1" applyFill="1" applyBorder="1" applyAlignment="1">
      <alignment horizontal="center" vertical="center" wrapText="1"/>
    </xf>
    <xf numFmtId="43" fontId="30" fillId="0" borderId="14" xfId="77" applyNumberFormat="1" applyFont="1" applyBorder="1" applyAlignment="1">
      <alignment vertical="center"/>
    </xf>
    <xf numFmtId="0" fontId="103" fillId="0" borderId="14" xfId="0" applyFont="1" applyBorder="1" applyAlignment="1">
      <alignment horizontal="center" vertical="center" wrapText="1"/>
    </xf>
    <xf numFmtId="4" fontId="28" fillId="0" borderId="23" xfId="206" applyNumberFormat="1" applyFont="1" applyFill="1" applyBorder="1" applyAlignment="1">
      <alignment vertical="center"/>
    </xf>
    <xf numFmtId="0" fontId="28" fillId="0" borderId="32" xfId="206" applyFont="1" applyFill="1" applyBorder="1" applyAlignment="1">
      <alignment horizontal="center" vertical="center" wrapText="1"/>
    </xf>
    <xf numFmtId="0" fontId="28" fillId="0" borderId="32" xfId="206" applyFont="1" applyFill="1" applyBorder="1" applyAlignment="1">
      <alignment horizontal="justify" vertical="center" wrapText="1"/>
    </xf>
    <xf numFmtId="0" fontId="28" fillId="0" borderId="23" xfId="206" applyFont="1" applyFill="1" applyBorder="1" applyAlignment="1">
      <alignment horizontal="center" vertical="center" wrapText="1"/>
    </xf>
    <xf numFmtId="3" fontId="82" fillId="0" borderId="32" xfId="206" applyNumberFormat="1" applyFont="1" applyFill="1" applyBorder="1" applyAlignment="1">
      <alignment vertical="center"/>
    </xf>
    <xf numFmtId="4" fontId="28" fillId="0" borderId="23" xfId="206" applyNumberFormat="1" applyFont="1" applyFill="1" applyBorder="1" applyAlignment="1">
      <alignment vertical="center" wrapText="1"/>
    </xf>
    <xf numFmtId="0" fontId="176" fillId="0" borderId="14" xfId="206" applyFont="1" applyFill="1" applyBorder="1" applyAlignment="1">
      <alignment horizontal="center" vertical="center"/>
    </xf>
    <xf numFmtId="0" fontId="30" fillId="0" borderId="18"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4" xfId="0" applyFont="1" applyFill="1" applyBorder="1" applyAlignment="1">
      <alignment horizontal="center" vertical="center" wrapText="1"/>
    </xf>
    <xf numFmtId="166" fontId="30" fillId="0" borderId="0" xfId="77" applyNumberFormat="1" applyFont="1" applyFill="1" applyAlignment="1"/>
    <xf numFmtId="4" fontId="32" fillId="0" borderId="14" xfId="0" applyNumberFormat="1" applyFont="1" applyFill="1" applyBorder="1" applyAlignment="1">
      <alignment horizontal="center" vertical="center" wrapText="1"/>
    </xf>
    <xf numFmtId="2" fontId="28" fillId="0" borderId="14" xfId="0" applyNumberFormat="1" applyFont="1" applyBorder="1" applyAlignment="1">
      <alignment horizontal="right" vertical="center"/>
    </xf>
    <xf numFmtId="202" fontId="28" fillId="0" borderId="14" xfId="0" applyNumberFormat="1" applyFont="1" applyBorder="1" applyAlignment="1">
      <alignment horizontal="right" vertical="center"/>
    </xf>
    <xf numFmtId="166" fontId="30" fillId="0" borderId="14" xfId="77" applyNumberFormat="1" applyFont="1" applyFill="1" applyBorder="1" applyAlignment="1">
      <alignment vertical="center" wrapText="1"/>
    </xf>
    <xf numFmtId="166" fontId="34" fillId="0" borderId="0" xfId="0" applyNumberFormat="1" applyFont="1" applyAlignment="1">
      <alignment vertical="center"/>
    </xf>
    <xf numFmtId="0" fontId="28" fillId="0" borderId="19" xfId="153" applyFont="1" applyFill="1" applyBorder="1" applyAlignment="1">
      <alignment horizontal="left" vertical="center" wrapText="1"/>
    </xf>
    <xf numFmtId="4" fontId="30" fillId="0" borderId="0" xfId="153" applyNumberFormat="1" applyFont="1" applyAlignment="1">
      <alignment vertical="center"/>
    </xf>
    <xf numFmtId="4" fontId="30" fillId="0" borderId="0" xfId="153" applyNumberFormat="1" applyFont="1" applyFill="1" applyAlignment="1">
      <alignment vertical="center"/>
    </xf>
    <xf numFmtId="3" fontId="30" fillId="0" borderId="0" xfId="0" applyNumberFormat="1" applyFont="1" applyFill="1" applyAlignment="1"/>
    <xf numFmtId="166" fontId="28" fillId="0" borderId="0" xfId="77" applyNumberFormat="1" applyFont="1" applyFill="1" applyAlignment="1">
      <alignment wrapText="1"/>
    </xf>
    <xf numFmtId="0" fontId="30" fillId="0" borderId="14" xfId="0" applyFont="1" applyBorder="1" applyAlignment="1">
      <alignment horizontal="center" vertical="center" wrapText="1"/>
    </xf>
    <xf numFmtId="43" fontId="28" fillId="0" borderId="14" xfId="77" applyFont="1" applyBorder="1" applyAlignment="1">
      <alignment vertical="center"/>
    </xf>
    <xf numFmtId="184" fontId="34" fillId="0" borderId="0" xfId="0" applyNumberFormat="1" applyFont="1" applyAlignment="1">
      <alignment vertical="center"/>
    </xf>
    <xf numFmtId="43" fontId="39" fillId="0" borderId="0" xfId="0" applyNumberFormat="1" applyFont="1" applyAlignment="1">
      <alignment vertical="center"/>
    </xf>
    <xf numFmtId="4" fontId="28" fillId="0" borderId="32" xfId="0" applyNumberFormat="1" applyFont="1" applyBorder="1" applyAlignment="1">
      <alignment horizontal="right" vertical="center"/>
    </xf>
    <xf numFmtId="4" fontId="28" fillId="0" borderId="38" xfId="0" applyNumberFormat="1" applyFont="1" applyBorder="1" applyAlignment="1">
      <alignment horizontal="right" vertical="center"/>
    </xf>
    <xf numFmtId="185" fontId="30" fillId="0" borderId="14" xfId="77" applyNumberFormat="1" applyFont="1" applyBorder="1" applyAlignment="1">
      <alignment vertical="center"/>
    </xf>
    <xf numFmtId="174" fontId="97" fillId="0" borderId="14" xfId="0" applyNumberFormat="1" applyFont="1" applyFill="1" applyBorder="1" applyAlignment="1">
      <alignment horizontal="center" vertical="center" wrapText="1"/>
    </xf>
    <xf numFmtId="174" fontId="97" fillId="0" borderId="0" xfId="0" applyNumberFormat="1" applyFont="1" applyFill="1"/>
    <xf numFmtId="0" fontId="28" fillId="0" borderId="14" xfId="0" applyFont="1" applyFill="1" applyBorder="1" applyAlignment="1">
      <alignment wrapText="1"/>
    </xf>
    <xf numFmtId="3" fontId="97" fillId="0" borderId="14" xfId="0" applyNumberFormat="1" applyFont="1" applyFill="1" applyBorder="1" applyAlignment="1">
      <alignment vertical="center"/>
    </xf>
    <xf numFmtId="4" fontId="97" fillId="0" borderId="14" xfId="0" applyNumberFormat="1" applyFont="1" applyFill="1" applyBorder="1" applyAlignment="1">
      <alignment vertical="center"/>
    </xf>
    <xf numFmtId="0" fontId="0" fillId="0" borderId="0" xfId="0" applyAlignment="1">
      <alignment wrapText="1"/>
    </xf>
    <xf numFmtId="3" fontId="30" fillId="0" borderId="14" xfId="0" applyNumberFormat="1" applyFont="1" applyFill="1" applyBorder="1" applyAlignment="1">
      <alignment horizontal="right" vertical="center" wrapText="1"/>
    </xf>
    <xf numFmtId="0" fontId="28" fillId="0" borderId="14" xfId="0" applyFont="1" applyBorder="1" applyAlignment="1">
      <alignment wrapText="1"/>
    </xf>
    <xf numFmtId="0" fontId="30" fillId="0" borderId="14" xfId="0" applyFont="1" applyBorder="1" applyAlignment="1">
      <alignment wrapText="1"/>
    </xf>
    <xf numFmtId="0" fontId="30" fillId="0" borderId="14" xfId="0" applyFont="1" applyBorder="1"/>
    <xf numFmtId="0" fontId="0" fillId="0" borderId="0" xfId="0" applyAlignment="1">
      <alignment vertical="center" wrapText="1"/>
    </xf>
    <xf numFmtId="0" fontId="30" fillId="0" borderId="14" xfId="0" applyFont="1" applyFill="1" applyBorder="1" applyAlignment="1">
      <alignment horizontal="center" vertical="center" wrapText="1"/>
    </xf>
    <xf numFmtId="0" fontId="30" fillId="0" borderId="14" xfId="0" applyFont="1" applyBorder="1" applyAlignment="1">
      <alignment horizontal="center" vertical="center" wrapText="1"/>
    </xf>
    <xf numFmtId="0" fontId="0" fillId="0" borderId="0" xfId="0" applyAlignment="1">
      <alignment wrapText="1"/>
    </xf>
    <xf numFmtId="173" fontId="30" fillId="0" borderId="44" xfId="0" applyNumberFormat="1" applyFont="1" applyFill="1" applyBorder="1" applyAlignment="1">
      <alignment horizontal="center" vertical="center" wrapText="1"/>
    </xf>
    <xf numFmtId="173" fontId="30" fillId="0" borderId="25" xfId="0" applyNumberFormat="1" applyFont="1" applyFill="1" applyBorder="1" applyAlignment="1">
      <alignment horizontal="center" vertical="center" wrapText="1"/>
    </xf>
    <xf numFmtId="165" fontId="28" fillId="0" borderId="0" xfId="0" applyNumberFormat="1" applyFont="1" applyAlignment="1">
      <alignment vertical="center"/>
    </xf>
    <xf numFmtId="165" fontId="30" fillId="0" borderId="14" xfId="432" applyNumberFormat="1" applyFont="1" applyFill="1" applyBorder="1" applyAlignment="1">
      <alignment horizontal="center" vertical="center" wrapText="1"/>
    </xf>
    <xf numFmtId="165" fontId="30" fillId="0" borderId="14" xfId="0" applyNumberFormat="1" applyFont="1" applyFill="1" applyBorder="1" applyAlignment="1">
      <alignment horizontal="center" vertical="center" wrapText="1"/>
    </xf>
    <xf numFmtId="165" fontId="35" fillId="0" borderId="14" xfId="0" applyNumberFormat="1" applyFont="1" applyFill="1" applyBorder="1" applyAlignment="1">
      <alignment horizontal="center" vertical="center" wrapText="1"/>
    </xf>
    <xf numFmtId="165" fontId="28" fillId="0" borderId="14" xfId="432" applyNumberFormat="1" applyFont="1" applyBorder="1" applyAlignment="1">
      <alignment horizontal="right" vertical="center"/>
    </xf>
    <xf numFmtId="165" fontId="34" fillId="0" borderId="0" xfId="0" applyNumberFormat="1" applyFont="1" applyAlignment="1">
      <alignment vertical="center"/>
    </xf>
    <xf numFmtId="165" fontId="30" fillId="0" borderId="41" xfId="0" applyNumberFormat="1" applyFont="1" applyFill="1" applyBorder="1" applyAlignment="1">
      <alignment horizontal="center" vertical="center" wrapText="1"/>
    </xf>
    <xf numFmtId="165" fontId="30" fillId="0" borderId="14" xfId="0" applyNumberFormat="1" applyFont="1" applyBorder="1" applyAlignment="1">
      <alignment horizontal="right" vertical="center"/>
    </xf>
    <xf numFmtId="165" fontId="97" fillId="0" borderId="14" xfId="0" applyNumberFormat="1" applyFont="1" applyBorder="1" applyAlignment="1">
      <alignment horizontal="right" vertical="center"/>
    </xf>
    <xf numFmtId="165" fontId="179" fillId="0" borderId="14" xfId="0" applyNumberFormat="1" applyFont="1" applyBorder="1" applyAlignment="1">
      <alignment horizontal="right" vertical="center"/>
    </xf>
    <xf numFmtId="0" fontId="30" fillId="0" borderId="17" xfId="153" applyFont="1" applyFill="1" applyBorder="1" applyAlignment="1">
      <alignment horizontal="center" vertical="center" wrapText="1"/>
    </xf>
    <xf numFmtId="184" fontId="28" fillId="0" borderId="0" xfId="78" applyNumberFormat="1" applyFont="1" applyAlignment="1">
      <alignment horizontal="right" vertical="center"/>
    </xf>
    <xf numFmtId="184" fontId="30" fillId="0" borderId="14" xfId="78" applyNumberFormat="1" applyFont="1" applyFill="1" applyBorder="1" applyAlignment="1">
      <alignment horizontal="center" vertical="center" wrapText="1"/>
    </xf>
    <xf numFmtId="184" fontId="34" fillId="0" borderId="0" xfId="78" applyNumberFormat="1" applyFont="1" applyAlignment="1">
      <alignment vertical="center"/>
    </xf>
    <xf numFmtId="184" fontId="28" fillId="0" borderId="0" xfId="78" applyNumberFormat="1" applyFont="1" applyAlignment="1">
      <alignment vertical="center"/>
    </xf>
    <xf numFmtId="184" fontId="97" fillId="0" borderId="14" xfId="0" applyNumberFormat="1" applyFont="1" applyBorder="1" applyAlignment="1">
      <alignment horizontal="right" vertical="center"/>
    </xf>
    <xf numFmtId="3" fontId="28" fillId="0" borderId="0" xfId="0" applyNumberFormat="1" applyFont="1" applyFill="1" applyAlignment="1">
      <alignment horizontal="left"/>
    </xf>
    <xf numFmtId="3" fontId="30" fillId="0" borderId="0" xfId="0" applyNumberFormat="1" applyFont="1" applyFill="1" applyAlignment="1">
      <alignment horizontal="left"/>
    </xf>
    <xf numFmtId="4" fontId="30" fillId="0" borderId="42" xfId="153" applyNumberFormat="1" applyFont="1" applyFill="1" applyBorder="1" applyAlignment="1">
      <alignment horizontal="center" vertical="center" wrapText="1"/>
    </xf>
    <xf numFmtId="0" fontId="30" fillId="0" borderId="26" xfId="153" applyFont="1" applyFill="1" applyBorder="1" applyAlignment="1">
      <alignment horizontal="right" vertical="center" wrapText="1"/>
    </xf>
    <xf numFmtId="0" fontId="28" fillId="0" borderId="72" xfId="153" applyFont="1" applyFill="1" applyBorder="1" applyAlignment="1">
      <alignment horizontal="right" vertical="center" wrapText="1"/>
    </xf>
    <xf numFmtId="0" fontId="28" fillId="0" borderId="73" xfId="153" applyFont="1" applyFill="1" applyBorder="1" applyAlignment="1">
      <alignment horizontal="justify" vertical="center" wrapText="1"/>
    </xf>
    <xf numFmtId="0" fontId="28" fillId="0" borderId="73" xfId="153" applyFont="1" applyFill="1" applyBorder="1" applyAlignment="1">
      <alignment horizontal="center" vertical="center" wrapText="1"/>
    </xf>
    <xf numFmtId="9" fontId="28" fillId="0" borderId="73" xfId="153" applyNumberFormat="1" applyFont="1" applyFill="1" applyBorder="1" applyAlignment="1">
      <alignment horizontal="center" vertical="center" wrapText="1"/>
    </xf>
    <xf numFmtId="166" fontId="28" fillId="0" borderId="73" xfId="79" applyNumberFormat="1" applyFont="1" applyBorder="1" applyAlignment="1">
      <alignment vertical="center" wrapText="1"/>
    </xf>
    <xf numFmtId="166" fontId="28" fillId="0" borderId="73" xfId="79" applyNumberFormat="1" applyFont="1" applyBorder="1" applyAlignment="1">
      <alignment horizontal="right" vertical="center" wrapText="1"/>
    </xf>
    <xf numFmtId="4" fontId="28" fillId="0" borderId="108" xfId="153" applyNumberFormat="1" applyFont="1" applyBorder="1" applyAlignment="1">
      <alignment horizontal="right" vertical="center"/>
    </xf>
    <xf numFmtId="0" fontId="35" fillId="0" borderId="14" xfId="0" applyFont="1" applyFill="1" applyBorder="1" applyAlignment="1">
      <alignment vertical="center" wrapText="1"/>
    </xf>
    <xf numFmtId="43" fontId="28" fillId="0" borderId="14" xfId="79" applyNumberFormat="1" applyFont="1" applyBorder="1" applyAlignment="1">
      <alignment vertical="center" wrapText="1"/>
    </xf>
    <xf numFmtId="43" fontId="30" fillId="0" borderId="14" xfId="79" applyNumberFormat="1" applyFont="1" applyFill="1" applyBorder="1" applyAlignment="1">
      <alignment vertical="center" wrapText="1"/>
    </xf>
    <xf numFmtId="43" fontId="28" fillId="0" borderId="73" xfId="79" applyNumberFormat="1" applyFont="1" applyBorder="1" applyAlignment="1">
      <alignment vertical="center" wrapText="1"/>
    </xf>
    <xf numFmtId="166" fontId="30" fillId="0" borderId="0" xfId="153" applyNumberFormat="1" applyFont="1" applyAlignment="1">
      <alignment vertical="center"/>
    </xf>
    <xf numFmtId="205" fontId="34" fillId="0" borderId="0" xfId="0" applyNumberFormat="1" applyFont="1" applyAlignment="1">
      <alignment vertical="center"/>
    </xf>
    <xf numFmtId="0" fontId="30" fillId="0" borderId="14" xfId="0" applyFont="1" applyBorder="1" applyAlignment="1">
      <alignment horizontal="center" vertical="center" wrapText="1"/>
    </xf>
    <xf numFmtId="3" fontId="91" fillId="0" borderId="14" xfId="455" applyNumberFormat="1" applyFont="1" applyFill="1" applyBorder="1" applyAlignment="1">
      <alignment horizontal="center" vertical="center" wrapText="1"/>
    </xf>
    <xf numFmtId="3" fontId="82" fillId="0" borderId="14" xfId="455" applyNumberFormat="1" applyFont="1" applyBorder="1" applyAlignment="1">
      <alignment vertical="center"/>
    </xf>
    <xf numFmtId="3" fontId="163" fillId="0" borderId="14" xfId="455" applyNumberFormat="1" applyBorder="1" applyAlignment="1">
      <alignment vertical="center"/>
    </xf>
    <xf numFmtId="0" fontId="28" fillId="30" borderId="0" xfId="367" applyFont="1" applyFill="1" applyAlignment="1">
      <alignment vertical="center"/>
    </xf>
    <xf numFmtId="3" fontId="28" fillId="0" borderId="0" xfId="367" applyNumberFormat="1" applyFont="1" applyFill="1" applyAlignment="1">
      <alignment vertical="center"/>
    </xf>
    <xf numFmtId="0" fontId="108" fillId="30" borderId="0" xfId="367" applyFont="1" applyFill="1" applyAlignment="1">
      <alignment vertical="center"/>
    </xf>
    <xf numFmtId="0" fontId="112" fillId="0" borderId="14" xfId="367" applyFont="1" applyFill="1" applyBorder="1" applyAlignment="1">
      <alignment horizontal="center" vertical="center"/>
    </xf>
    <xf numFmtId="0" fontId="30" fillId="0" borderId="14" xfId="367" applyFont="1" applyFill="1" applyBorder="1" applyAlignment="1">
      <alignment horizontal="center" vertical="center" wrapText="1"/>
    </xf>
    <xf numFmtId="0" fontId="30" fillId="0" borderId="14" xfId="367" applyFont="1" applyFill="1" applyBorder="1" applyAlignment="1">
      <alignment horizontal="left" vertical="center" wrapText="1"/>
    </xf>
    <xf numFmtId="3" fontId="110" fillId="0" borderId="14" xfId="367" applyNumberFormat="1" applyFont="1" applyFill="1" applyBorder="1" applyAlignment="1">
      <alignment vertical="center"/>
    </xf>
    <xf numFmtId="0" fontId="28" fillId="0" borderId="0" xfId="367" applyFont="1" applyFill="1" applyAlignment="1">
      <alignment vertical="center"/>
    </xf>
    <xf numFmtId="3" fontId="28" fillId="0" borderId="14" xfId="367" applyNumberFormat="1" applyFont="1" applyFill="1" applyBorder="1" applyAlignment="1">
      <alignment vertical="center"/>
    </xf>
    <xf numFmtId="4" fontId="28" fillId="0" borderId="14" xfId="367" applyNumberFormat="1" applyFont="1" applyFill="1" applyBorder="1" applyAlignment="1">
      <alignment vertical="center"/>
    </xf>
    <xf numFmtId="3" fontId="82" fillId="0" borderId="14" xfId="367" applyNumberFormat="1" applyFont="1" applyFill="1" applyBorder="1" applyAlignment="1">
      <alignment vertical="center"/>
    </xf>
    <xf numFmtId="3" fontId="180" fillId="0" borderId="14" xfId="367" applyNumberFormat="1" applyFont="1" applyFill="1" applyBorder="1" applyAlignment="1">
      <alignment vertical="center"/>
    </xf>
    <xf numFmtId="0" fontId="28" fillId="0" borderId="14" xfId="367" applyFont="1" applyFill="1" applyBorder="1" applyAlignment="1">
      <alignment vertical="center"/>
    </xf>
    <xf numFmtId="0" fontId="28" fillId="30" borderId="14" xfId="367" applyFont="1" applyFill="1" applyBorder="1" applyAlignment="1">
      <alignment vertical="center"/>
    </xf>
    <xf numFmtId="4" fontId="28" fillId="30" borderId="14" xfId="367" applyNumberFormat="1" applyFont="1" applyFill="1" applyBorder="1" applyAlignment="1">
      <alignment vertical="center"/>
    </xf>
    <xf numFmtId="0" fontId="30" fillId="30" borderId="14" xfId="367" applyFont="1" applyFill="1" applyBorder="1" applyAlignment="1">
      <alignment vertical="center"/>
    </xf>
    <xf numFmtId="0" fontId="28" fillId="30" borderId="14" xfId="367" applyFont="1" applyFill="1" applyBorder="1" applyAlignment="1">
      <alignment horizontal="center" vertical="center"/>
    </xf>
    <xf numFmtId="3" fontId="30" fillId="30" borderId="14" xfId="367" applyNumberFormat="1" applyFont="1" applyFill="1" applyBorder="1" applyAlignment="1">
      <alignment vertical="center"/>
    </xf>
    <xf numFmtId="0" fontId="28" fillId="30" borderId="0" xfId="367" applyFont="1" applyFill="1" applyAlignment="1">
      <alignment horizontal="center" vertical="center"/>
    </xf>
    <xf numFmtId="0" fontId="28" fillId="30" borderId="0" xfId="367" applyFont="1" applyFill="1" applyAlignment="1">
      <alignment vertical="center" wrapText="1"/>
    </xf>
    <xf numFmtId="0" fontId="107" fillId="30" borderId="0" xfId="367" applyFont="1" applyFill="1" applyAlignment="1">
      <alignment vertical="center"/>
    </xf>
    <xf numFmtId="0" fontId="91" fillId="30" borderId="0" xfId="367" applyFont="1" applyFill="1" applyAlignment="1">
      <alignment vertical="center"/>
    </xf>
    <xf numFmtId="0" fontId="28" fillId="0" borderId="14" xfId="367" applyFont="1" applyFill="1" applyBorder="1" applyAlignment="1">
      <alignment horizontal="center" vertical="center" wrapText="1"/>
    </xf>
    <xf numFmtId="0" fontId="28" fillId="0" borderId="14" xfId="367" applyFont="1" applyFill="1" applyBorder="1" applyAlignment="1">
      <alignment horizontal="left" vertical="center" wrapText="1"/>
    </xf>
    <xf numFmtId="167" fontId="28" fillId="0" borderId="14" xfId="367" applyNumberFormat="1" applyFont="1" applyFill="1" applyBorder="1" applyAlignment="1">
      <alignment horizontal="right" vertical="center" wrapText="1"/>
    </xf>
    <xf numFmtId="167" fontId="30" fillId="0" borderId="14" xfId="367" applyNumberFormat="1" applyFont="1" applyFill="1" applyBorder="1" applyAlignment="1">
      <alignment horizontal="right" vertical="center" wrapText="1"/>
    </xf>
    <xf numFmtId="174" fontId="30" fillId="30" borderId="14" xfId="367" applyNumberFormat="1" applyFont="1" applyFill="1" applyBorder="1" applyAlignment="1">
      <alignment vertical="center"/>
    </xf>
    <xf numFmtId="3" fontId="97" fillId="0" borderId="14" xfId="0" applyNumberFormat="1" applyFont="1" applyFill="1" applyBorder="1" applyAlignment="1">
      <alignment horizontal="center" vertical="center" wrapText="1"/>
    </xf>
    <xf numFmtId="3" fontId="97" fillId="0" borderId="14" xfId="0" applyNumberFormat="1" applyFont="1" applyFill="1" applyBorder="1" applyAlignment="1">
      <alignment horizontal="right" vertical="center"/>
    </xf>
    <xf numFmtId="0" fontId="28" fillId="0" borderId="0" xfId="0" applyFont="1" applyFill="1" applyAlignment="1">
      <alignment horizontal="left" vertical="center"/>
    </xf>
    <xf numFmtId="0" fontId="28" fillId="0" borderId="14" xfId="0" applyFont="1" applyFill="1" applyBorder="1" applyAlignment="1">
      <alignment horizontal="left" vertical="center"/>
    </xf>
    <xf numFmtId="0" fontId="97" fillId="0" borderId="0" xfId="0" applyFont="1" applyFill="1" applyAlignment="1">
      <alignment wrapText="1"/>
    </xf>
    <xf numFmtId="0" fontId="96" fillId="0" borderId="14" xfId="206" applyFont="1" applyFill="1" applyBorder="1" applyAlignment="1">
      <alignment horizontal="left" vertical="center" wrapText="1"/>
    </xf>
    <xf numFmtId="3" fontId="96" fillId="0" borderId="14" xfId="455" applyNumberFormat="1" applyFont="1" applyFill="1" applyBorder="1" applyAlignment="1">
      <alignment horizontal="center" vertical="center" wrapText="1"/>
    </xf>
    <xf numFmtId="3" fontId="96" fillId="0" borderId="14" xfId="455" applyNumberFormat="1" applyFont="1" applyFill="1" applyBorder="1" applyAlignment="1">
      <alignment horizontal="right" vertical="center" wrapText="1"/>
    </xf>
    <xf numFmtId="166" fontId="28" fillId="0" borderId="0" xfId="0" applyNumberFormat="1" applyFont="1" applyFill="1"/>
    <xf numFmtId="0" fontId="0" fillId="0" borderId="14" xfId="0" applyBorder="1"/>
    <xf numFmtId="0" fontId="30" fillId="0" borderId="1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0" xfId="0" applyFont="1" applyFill="1" applyAlignment="1">
      <alignment wrapText="1"/>
    </xf>
    <xf numFmtId="9" fontId="28" fillId="0" borderId="0" xfId="166" applyFont="1" applyFill="1"/>
    <xf numFmtId="165" fontId="34" fillId="0" borderId="0" xfId="78" applyNumberFormat="1" applyFont="1" applyAlignment="1">
      <alignment vertical="center"/>
    </xf>
    <xf numFmtId="165" fontId="1" fillId="0" borderId="0" xfId="78" applyNumberFormat="1" applyFont="1" applyAlignment="1">
      <alignment vertical="center"/>
    </xf>
    <xf numFmtId="0" fontId="187" fillId="38" borderId="0" xfId="0" applyFont="1" applyFill="1"/>
    <xf numFmtId="0" fontId="188" fillId="38" borderId="0" xfId="0" applyFont="1" applyFill="1"/>
    <xf numFmtId="174" fontId="189" fillId="38" borderId="15" xfId="0" applyNumberFormat="1" applyFont="1" applyFill="1" applyBorder="1" applyAlignment="1">
      <alignment horizontal="center" vertical="center" wrapText="1"/>
    </xf>
    <xf numFmtId="174" fontId="189" fillId="38" borderId="14" xfId="0" applyNumberFormat="1" applyFont="1" applyFill="1" applyBorder="1" applyAlignment="1">
      <alignment horizontal="center" vertical="center" wrapText="1"/>
    </xf>
    <xf numFmtId="3" fontId="189" fillId="38" borderId="56" xfId="0" applyNumberFormat="1" applyFont="1" applyFill="1" applyBorder="1" applyAlignment="1">
      <alignment horizontal="center" vertical="center" wrapText="1"/>
    </xf>
    <xf numFmtId="3" fontId="187" fillId="38" borderId="0" xfId="0" applyNumberFormat="1" applyFont="1" applyFill="1"/>
    <xf numFmtId="0" fontId="189" fillId="38" borderId="14" xfId="0" applyFont="1" applyFill="1" applyBorder="1" applyAlignment="1">
      <alignment horizontal="center" vertical="center" wrapText="1"/>
    </xf>
    <xf numFmtId="0" fontId="189" fillId="38" borderId="14" xfId="0" applyFont="1" applyFill="1" applyBorder="1" applyAlignment="1">
      <alignment vertical="center" wrapText="1"/>
    </xf>
    <xf numFmtId="3" fontId="189" fillId="38" borderId="14" xfId="0" applyNumberFormat="1" applyFont="1" applyFill="1" applyBorder="1" applyAlignment="1">
      <alignment horizontal="center" vertical="center" wrapText="1"/>
    </xf>
    <xf numFmtId="3" fontId="189" fillId="38" borderId="14" xfId="0" applyNumberFormat="1" applyFont="1" applyFill="1" applyBorder="1" applyAlignment="1">
      <alignment vertical="center"/>
    </xf>
    <xf numFmtId="3" fontId="189" fillId="38" borderId="14" xfId="0" applyNumberFormat="1" applyFont="1" applyFill="1" applyBorder="1" applyAlignment="1">
      <alignment horizontal="right" vertical="center"/>
    </xf>
    <xf numFmtId="0" fontId="189" fillId="38" borderId="0" xfId="0" applyFont="1" applyFill="1"/>
    <xf numFmtId="0" fontId="187" fillId="38" borderId="14" xfId="0" applyFont="1" applyFill="1" applyBorder="1" applyAlignment="1">
      <alignment horizontal="center" vertical="center" wrapText="1"/>
    </xf>
    <xf numFmtId="0" fontId="187" fillId="38" borderId="14" xfId="0" applyFont="1" applyFill="1" applyBorder="1" applyAlignment="1">
      <alignment vertical="center" wrapText="1"/>
    </xf>
    <xf numFmtId="174" fontId="187" fillId="38" borderId="14" xfId="0" applyNumberFormat="1" applyFont="1" applyFill="1" applyBorder="1" applyAlignment="1">
      <alignment horizontal="center" vertical="center" wrapText="1"/>
    </xf>
    <xf numFmtId="3" fontId="187" fillId="38" borderId="14" xfId="0" applyNumberFormat="1" applyFont="1" applyFill="1" applyBorder="1" applyAlignment="1">
      <alignment vertical="center"/>
    </xf>
    <xf numFmtId="3" fontId="187" fillId="38" borderId="14" xfId="0" applyNumberFormat="1" applyFont="1" applyFill="1" applyBorder="1" applyAlignment="1">
      <alignment horizontal="right" vertical="center"/>
    </xf>
    <xf numFmtId="166" fontId="187" fillId="38" borderId="14" xfId="77" applyNumberFormat="1" applyFont="1" applyFill="1" applyBorder="1" applyAlignment="1">
      <alignment vertical="center" wrapText="1"/>
    </xf>
    <xf numFmtId="0" fontId="187" fillId="38" borderId="14" xfId="0" applyFont="1" applyFill="1" applyBorder="1" applyAlignment="1">
      <alignment horizontal="center" vertical="center"/>
    </xf>
    <xf numFmtId="174" fontId="187" fillId="38" borderId="14" xfId="0" applyNumberFormat="1" applyFont="1" applyFill="1" applyBorder="1" applyAlignment="1">
      <alignment horizontal="center" vertical="center"/>
    </xf>
    <xf numFmtId="0" fontId="189" fillId="38" borderId="14" xfId="0" applyFont="1" applyFill="1" applyBorder="1" applyAlignment="1">
      <alignment horizontal="center" vertical="center"/>
    </xf>
    <xf numFmtId="3" fontId="189" fillId="38" borderId="14" xfId="0" applyNumberFormat="1" applyFont="1" applyFill="1" applyBorder="1"/>
    <xf numFmtId="3" fontId="187" fillId="38" borderId="14" xfId="0" applyNumberFormat="1" applyFont="1" applyFill="1" applyBorder="1"/>
    <xf numFmtId="4" fontId="187" fillId="38" borderId="14" xfId="0" applyNumberFormat="1" applyFont="1" applyFill="1" applyBorder="1" applyAlignment="1">
      <alignment vertical="center"/>
    </xf>
    <xf numFmtId="174" fontId="187" fillId="38" borderId="0" xfId="0" applyNumberFormat="1" applyFont="1" applyFill="1"/>
    <xf numFmtId="0" fontId="187" fillId="38" borderId="0" xfId="0" applyFont="1" applyFill="1" applyAlignment="1">
      <alignment wrapText="1"/>
    </xf>
    <xf numFmtId="3" fontId="188" fillId="38" borderId="0" xfId="0" applyNumberFormat="1" applyFont="1" applyFill="1"/>
    <xf numFmtId="3" fontId="188" fillId="38" borderId="0" xfId="0" applyNumberFormat="1" applyFont="1" applyFill="1" applyAlignment="1">
      <alignment horizontal="right"/>
    </xf>
    <xf numFmtId="166" fontId="187" fillId="38" borderId="0" xfId="77" applyNumberFormat="1" applyFont="1" applyFill="1"/>
    <xf numFmtId="166" fontId="187" fillId="38" borderId="0" xfId="0" applyNumberFormat="1" applyFont="1" applyFill="1"/>
    <xf numFmtId="4" fontId="189" fillId="38" borderId="14" xfId="0" applyNumberFormat="1" applyFont="1" applyFill="1" applyBorder="1" applyAlignment="1">
      <alignment horizontal="center" vertical="center" wrapText="1"/>
    </xf>
    <xf numFmtId="4" fontId="189" fillId="38" borderId="14" xfId="0" applyNumberFormat="1" applyFont="1" applyFill="1" applyBorder="1" applyAlignment="1">
      <alignment vertical="center"/>
    </xf>
    <xf numFmtId="0" fontId="193" fillId="38" borderId="25" xfId="0" applyFont="1" applyFill="1" applyBorder="1" applyAlignment="1">
      <alignment vertical="center" wrapText="1"/>
    </xf>
    <xf numFmtId="184" fontId="187" fillId="38" borderId="14" xfId="77" applyNumberFormat="1" applyFont="1" applyFill="1" applyBorder="1" applyAlignment="1">
      <alignment horizontal="center" vertical="center" wrapText="1"/>
    </xf>
    <xf numFmtId="184" fontId="189" fillId="38" borderId="14" xfId="77" applyNumberFormat="1" applyFont="1" applyFill="1" applyBorder="1" applyAlignment="1">
      <alignment horizontal="center" vertical="center" wrapText="1"/>
    </xf>
    <xf numFmtId="0" fontId="187" fillId="38" borderId="14" xfId="0" applyFont="1" applyFill="1" applyBorder="1" applyAlignment="1">
      <alignment horizontal="center" wrapText="1"/>
    </xf>
    <xf numFmtId="184" fontId="187" fillId="38" borderId="14" xfId="77" applyNumberFormat="1" applyFont="1" applyFill="1" applyBorder="1" applyAlignment="1">
      <alignment horizontal="center" wrapText="1"/>
    </xf>
    <xf numFmtId="0" fontId="192" fillId="38" borderId="25" xfId="0" applyFont="1" applyFill="1" applyBorder="1" applyAlignment="1">
      <alignment vertical="center" wrapText="1"/>
    </xf>
    <xf numFmtId="184" fontId="189" fillId="38" borderId="14" xfId="77" applyNumberFormat="1" applyFont="1" applyFill="1" applyBorder="1" applyAlignment="1">
      <alignment horizontal="center" vertical="center"/>
    </xf>
    <xf numFmtId="184" fontId="187" fillId="38" borderId="14" xfId="77" applyNumberFormat="1" applyFont="1" applyFill="1" applyBorder="1" applyAlignment="1">
      <alignment horizontal="center" vertical="center"/>
    </xf>
    <xf numFmtId="4" fontId="187" fillId="38" borderId="0" xfId="0" applyNumberFormat="1" applyFont="1" applyFill="1"/>
    <xf numFmtId="166" fontId="189" fillId="38" borderId="0" xfId="77" applyNumberFormat="1" applyFont="1" applyFill="1"/>
    <xf numFmtId="9" fontId="187" fillId="38" borderId="0" xfId="166" applyFont="1" applyFill="1"/>
    <xf numFmtId="3" fontId="189" fillId="38" borderId="0" xfId="0" applyNumberFormat="1" applyFont="1" applyFill="1"/>
    <xf numFmtId="166" fontId="189" fillId="38" borderId="0" xfId="0" applyNumberFormat="1" applyFont="1" applyFill="1"/>
    <xf numFmtId="9" fontId="181" fillId="0" borderId="38" xfId="0" applyNumberFormat="1" applyFont="1" applyBorder="1" applyAlignment="1">
      <alignment horizontal="center" vertical="center" wrapText="1"/>
    </xf>
    <xf numFmtId="0" fontId="195" fillId="0" borderId="14" xfId="0" applyFont="1" applyFill="1" applyBorder="1" applyAlignment="1">
      <alignment vertical="center" wrapText="1"/>
    </xf>
    <xf numFmtId="0" fontId="195" fillId="0" borderId="14" xfId="0" applyFont="1" applyBorder="1" applyAlignment="1">
      <alignment wrapText="1"/>
    </xf>
    <xf numFmtId="3" fontId="195" fillId="0" borderId="14" xfId="0" applyNumberFormat="1" applyFont="1" applyBorder="1" applyAlignment="1">
      <alignment vertical="center" wrapText="1"/>
    </xf>
    <xf numFmtId="3" fontId="195" fillId="0" borderId="14" xfId="0" applyNumberFormat="1" applyFont="1" applyBorder="1" applyAlignment="1">
      <alignment horizontal="center" vertical="center" wrapText="1"/>
    </xf>
    <xf numFmtId="166" fontId="28" fillId="0" borderId="0" xfId="0" applyNumberFormat="1" applyFont="1" applyAlignment="1">
      <alignment horizontal="center"/>
    </xf>
    <xf numFmtId="166" fontId="28" fillId="0" borderId="23" xfId="77" applyNumberFormat="1" applyFont="1" applyFill="1" applyBorder="1" applyAlignment="1">
      <alignment horizontal="justify" vertical="center" wrapText="1"/>
    </xf>
    <xf numFmtId="166" fontId="28" fillId="0" borderId="23" xfId="77" applyNumberFormat="1" applyFont="1" applyBorder="1" applyAlignment="1">
      <alignment vertical="center" wrapText="1"/>
    </xf>
    <xf numFmtId="0" fontId="197" fillId="0" borderId="0" xfId="153" applyFont="1" applyAlignment="1">
      <alignment horizontal="center" vertical="center" wrapText="1"/>
    </xf>
    <xf numFmtId="166" fontId="28" fillId="0" borderId="38" xfId="77" applyNumberFormat="1" applyFont="1" applyBorder="1" applyAlignment="1">
      <alignment vertical="center" wrapText="1"/>
    </xf>
    <xf numFmtId="166" fontId="28" fillId="0" borderId="14" xfId="77" applyNumberFormat="1" applyFont="1" applyFill="1" applyBorder="1" applyAlignment="1">
      <alignment horizontal="justify" vertical="center" wrapText="1"/>
    </xf>
    <xf numFmtId="0" fontId="181" fillId="0" borderId="26" xfId="153" applyFont="1" applyFill="1" applyBorder="1" applyAlignment="1">
      <alignment horizontal="right" vertical="center" wrapText="1"/>
    </xf>
    <xf numFmtId="166" fontId="28" fillId="0" borderId="14" xfId="77" applyNumberFormat="1" applyFont="1" applyBorder="1" applyAlignment="1">
      <alignment vertical="center" wrapText="1"/>
    </xf>
    <xf numFmtId="166" fontId="28" fillId="0" borderId="14" xfId="77" applyNumberFormat="1" applyFont="1" applyBorder="1" applyAlignment="1">
      <alignment horizontal="right" vertical="center" wrapText="1"/>
    </xf>
    <xf numFmtId="0" fontId="30" fillId="0" borderId="40" xfId="153" applyFont="1" applyFill="1" applyBorder="1" applyAlignment="1">
      <alignment horizontal="center" vertical="center" wrapText="1"/>
    </xf>
    <xf numFmtId="185" fontId="30" fillId="0" borderId="41" xfId="79" applyNumberFormat="1" applyFont="1" applyFill="1" applyBorder="1" applyAlignment="1">
      <alignment horizontal="center" vertical="center" wrapText="1"/>
    </xf>
    <xf numFmtId="0" fontId="197" fillId="38" borderId="0" xfId="153" applyFont="1" applyFill="1" applyAlignment="1">
      <alignment vertical="center"/>
    </xf>
    <xf numFmtId="43" fontId="197" fillId="38" borderId="0" xfId="77" applyFont="1" applyFill="1" applyAlignment="1">
      <alignment vertical="center"/>
    </xf>
    <xf numFmtId="166" fontId="197" fillId="38" borderId="0" xfId="77" applyNumberFormat="1" applyFont="1" applyFill="1" applyAlignment="1">
      <alignment vertical="center"/>
    </xf>
    <xf numFmtId="3" fontId="30" fillId="0" borderId="0" xfId="153" applyNumberFormat="1" applyFont="1" applyAlignment="1">
      <alignment vertical="center"/>
    </xf>
    <xf numFmtId="43" fontId="197" fillId="38" borderId="0" xfId="77" applyNumberFormat="1" applyFont="1" applyFill="1" applyAlignment="1">
      <alignment vertical="center"/>
    </xf>
    <xf numFmtId="2" fontId="197" fillId="38" borderId="0" xfId="153" applyNumberFormat="1" applyFont="1" applyFill="1" applyAlignment="1">
      <alignment vertical="center"/>
    </xf>
    <xf numFmtId="3" fontId="197" fillId="38" borderId="0" xfId="153" applyNumberFormat="1" applyFont="1" applyFill="1" applyAlignment="1">
      <alignment vertical="center"/>
    </xf>
    <xf numFmtId="0" fontId="195" fillId="0" borderId="0" xfId="0" applyFont="1" applyAlignment="1">
      <alignment vertical="center"/>
    </xf>
    <xf numFmtId="0" fontId="198" fillId="0" borderId="0" xfId="153" applyFont="1" applyAlignment="1">
      <alignment vertical="center"/>
    </xf>
    <xf numFmtId="0" fontId="198" fillId="0" borderId="0" xfId="153" applyFont="1" applyAlignment="1">
      <alignment horizontal="center" vertical="center"/>
    </xf>
    <xf numFmtId="166" fontId="198" fillId="0" borderId="0" xfId="79" applyNumberFormat="1" applyFont="1" applyAlignment="1">
      <alignment vertical="center"/>
    </xf>
    <xf numFmtId="165" fontId="198" fillId="0" borderId="0" xfId="79" applyNumberFormat="1" applyFont="1" applyAlignment="1">
      <alignment vertical="center"/>
    </xf>
    <xf numFmtId="43" fontId="198" fillId="0" borderId="0" xfId="79" applyNumberFormat="1" applyFont="1" applyAlignment="1">
      <alignment vertical="center"/>
    </xf>
    <xf numFmtId="207" fontId="28" fillId="0" borderId="23" xfId="79" applyNumberFormat="1" applyFont="1" applyBorder="1" applyAlignment="1">
      <alignment vertical="center" wrapText="1"/>
    </xf>
    <xf numFmtId="207" fontId="30" fillId="0" borderId="16" xfId="79" applyNumberFormat="1" applyFont="1" applyFill="1" applyBorder="1" applyAlignment="1">
      <alignment vertical="center" wrapText="1"/>
    </xf>
    <xf numFmtId="207" fontId="28" fillId="0" borderId="38" xfId="79" applyNumberFormat="1" applyFont="1" applyBorder="1" applyAlignment="1">
      <alignment vertical="center" wrapText="1"/>
    </xf>
    <xf numFmtId="0" fontId="111" fillId="0" borderId="14" xfId="153" applyFont="1" applyFill="1" applyBorder="1" applyAlignment="1">
      <alignment horizontal="center" vertical="center" wrapText="1"/>
    </xf>
    <xf numFmtId="0" fontId="108" fillId="0" borderId="14" xfId="153" applyFont="1" applyFill="1" applyBorder="1" applyAlignment="1">
      <alignment horizontal="left" vertical="center" wrapText="1"/>
    </xf>
    <xf numFmtId="0" fontId="108" fillId="0" borderId="14" xfId="153" applyFont="1" applyFill="1" applyBorder="1" applyAlignment="1">
      <alignment horizontal="center" vertical="center" wrapText="1"/>
    </xf>
    <xf numFmtId="0" fontId="111" fillId="0" borderId="14" xfId="153" applyFont="1" applyFill="1" applyBorder="1" applyAlignment="1">
      <alignment horizontal="left" vertical="center" wrapText="1"/>
    </xf>
    <xf numFmtId="0" fontId="111" fillId="0" borderId="14" xfId="153" applyFont="1" applyFill="1" applyBorder="1" applyAlignment="1">
      <alignment horizontal="justify" vertical="center" wrapText="1"/>
    </xf>
    <xf numFmtId="43" fontId="28" fillId="0" borderId="14" xfId="79" applyNumberFormat="1" applyFont="1" applyBorder="1" applyAlignment="1">
      <alignment horizontal="right" vertical="center" wrapText="1"/>
    </xf>
    <xf numFmtId="43" fontId="30" fillId="0" borderId="14" xfId="79" applyNumberFormat="1" applyFont="1" applyFill="1" applyBorder="1" applyAlignment="1">
      <alignment horizontal="right" vertical="center" wrapText="1"/>
    </xf>
    <xf numFmtId="0" fontId="108" fillId="0" borderId="14" xfId="153" applyFont="1" applyFill="1" applyBorder="1" applyAlignment="1">
      <alignment horizontal="justify" vertical="center" wrapText="1"/>
    </xf>
    <xf numFmtId="0" fontId="108" fillId="0" borderId="14" xfId="153" quotePrefix="1" applyFont="1" applyFill="1" applyBorder="1" applyAlignment="1">
      <alignment horizontal="justify" vertical="center" wrapText="1"/>
    </xf>
    <xf numFmtId="0" fontId="149" fillId="0" borderId="14" xfId="0" applyFont="1" applyBorder="1"/>
    <xf numFmtId="0" fontId="195" fillId="0" borderId="0" xfId="0" applyFont="1" applyAlignment="1">
      <alignment horizontal="center" wrapText="1"/>
    </xf>
    <xf numFmtId="0" fontId="108" fillId="0" borderId="0" xfId="0" applyFont="1" applyBorder="1" applyAlignment="1">
      <alignment horizontal="right" vertical="center"/>
    </xf>
    <xf numFmtId="0" fontId="111" fillId="0" borderId="0" xfId="0" applyFont="1" applyBorder="1" applyAlignment="1">
      <alignment horizontal="right" vertical="center"/>
    </xf>
    <xf numFmtId="174" fontId="34" fillId="0" borderId="0" xfId="0" applyNumberFormat="1" applyFont="1" applyBorder="1" applyAlignment="1">
      <alignment vertical="center"/>
    </xf>
    <xf numFmtId="3" fontId="110" fillId="0" borderId="14" xfId="455" applyNumberFormat="1" applyFont="1" applyFill="1" applyBorder="1" applyAlignment="1">
      <alignment horizontal="right" vertical="center"/>
    </xf>
    <xf numFmtId="0" fontId="110" fillId="0" borderId="14" xfId="206" applyFont="1" applyFill="1" applyBorder="1" applyAlignment="1">
      <alignment horizontal="center" vertical="center"/>
    </xf>
    <xf numFmtId="0" fontId="110" fillId="0" borderId="14" xfId="206" applyFont="1" applyFill="1" applyBorder="1" applyAlignment="1">
      <alignment horizontal="left" vertical="center" wrapText="1"/>
    </xf>
    <xf numFmtId="3" fontId="82" fillId="0" borderId="89" xfId="455" applyNumberFormat="1" applyFont="1" applyFill="1" applyBorder="1" applyAlignment="1">
      <alignment horizontal="right" vertical="center"/>
    </xf>
    <xf numFmtId="3" fontId="82" fillId="0" borderId="93" xfId="455" applyNumberFormat="1" applyFont="1" applyFill="1" applyBorder="1" applyAlignment="1">
      <alignment horizontal="right" vertical="center"/>
    </xf>
    <xf numFmtId="3" fontId="82" fillId="0" borderId="95" xfId="455" applyNumberFormat="1" applyFont="1" applyFill="1" applyBorder="1" applyAlignment="1">
      <alignment horizontal="right" vertical="center"/>
    </xf>
    <xf numFmtId="0" fontId="195" fillId="0" borderId="0" xfId="0" applyFont="1" applyFill="1"/>
    <xf numFmtId="174" fontId="195" fillId="0" borderId="0" xfId="0" applyNumberFormat="1" applyFont="1" applyFill="1"/>
    <xf numFmtId="3" fontId="195" fillId="0" borderId="0" xfId="0" applyNumberFormat="1" applyFont="1" applyFill="1"/>
    <xf numFmtId="3" fontId="195" fillId="0" borderId="0" xfId="0" applyNumberFormat="1" applyFont="1" applyFill="1" applyAlignment="1">
      <alignment horizontal="right"/>
    </xf>
    <xf numFmtId="0" fontId="195" fillId="0" borderId="0" xfId="0" applyFont="1" applyFill="1" applyAlignment="1">
      <alignment wrapText="1"/>
    </xf>
    <xf numFmtId="0" fontId="197" fillId="0" borderId="0" xfId="0" applyFont="1" applyFill="1"/>
    <xf numFmtId="174" fontId="197" fillId="0" borderId="0" xfId="0" applyNumberFormat="1" applyFont="1" applyFill="1"/>
    <xf numFmtId="3" fontId="197" fillId="0" borderId="0" xfId="0" applyNumberFormat="1" applyFont="1" applyFill="1"/>
    <xf numFmtId="3" fontId="197" fillId="0" borderId="0" xfId="0" applyNumberFormat="1" applyFont="1" applyFill="1" applyAlignment="1">
      <alignment horizontal="right"/>
    </xf>
    <xf numFmtId="0" fontId="197" fillId="0" borderId="0" xfId="0" applyFont="1" applyFill="1" applyAlignment="1">
      <alignment wrapText="1"/>
    </xf>
    <xf numFmtId="0" fontId="197" fillId="0" borderId="0" xfId="153" applyFont="1" applyAlignment="1">
      <alignment vertical="center"/>
    </xf>
    <xf numFmtId="0" fontId="195" fillId="0" borderId="0" xfId="0" applyFont="1"/>
    <xf numFmtId="0" fontId="197" fillId="0" borderId="14" xfId="0" applyFont="1" applyBorder="1"/>
    <xf numFmtId="0" fontId="197" fillId="0" borderId="14" xfId="0" applyFont="1" applyBorder="1" applyAlignment="1">
      <alignment horizontal="center"/>
    </xf>
    <xf numFmtId="0" fontId="197" fillId="0" borderId="14" xfId="0" applyFont="1" applyBorder="1" applyAlignment="1">
      <alignment horizontal="center" vertical="center"/>
    </xf>
    <xf numFmtId="166" fontId="195" fillId="0" borderId="14" xfId="77" applyNumberFormat="1" applyFont="1" applyBorder="1"/>
    <xf numFmtId="0" fontId="197" fillId="0" borderId="0" xfId="0" applyFont="1"/>
    <xf numFmtId="0" fontId="36" fillId="0" borderId="0" xfId="0" applyFont="1"/>
    <xf numFmtId="3" fontId="195" fillId="0" borderId="0" xfId="0" applyNumberFormat="1" applyFont="1"/>
    <xf numFmtId="0" fontId="196" fillId="39" borderId="0" xfId="0" applyFont="1" applyFill="1"/>
    <xf numFmtId="0" fontId="195" fillId="39" borderId="0" xfId="0" applyFont="1" applyFill="1"/>
    <xf numFmtId="166" fontId="195" fillId="0" borderId="0" xfId="77" applyNumberFormat="1" applyFont="1"/>
    <xf numFmtId="0" fontId="111" fillId="0" borderId="14" xfId="0" applyFont="1" applyBorder="1" applyAlignment="1">
      <alignment horizontal="center" vertical="center"/>
    </xf>
    <xf numFmtId="0" fontId="111" fillId="0" borderId="14" xfId="0" applyFont="1" applyBorder="1" applyAlignment="1">
      <alignment horizontal="justify" vertical="center" wrapText="1"/>
    </xf>
    <xf numFmtId="0" fontId="108" fillId="0" borderId="14" xfId="0" applyFont="1" applyBorder="1" applyAlignment="1">
      <alignment horizontal="center" vertical="center"/>
    </xf>
    <xf numFmtId="0" fontId="108" fillId="0" borderId="14" xfId="0" applyFont="1" applyBorder="1" applyAlignment="1">
      <alignment horizontal="justify" vertical="center" wrapText="1"/>
    </xf>
    <xf numFmtId="0" fontId="195" fillId="0" borderId="14" xfId="0" applyFont="1" applyFill="1" applyBorder="1" applyAlignment="1">
      <alignment horizontal="center" vertical="center"/>
    </xf>
    <xf numFmtId="0" fontId="195" fillId="0" borderId="14" xfId="0" applyFont="1" applyFill="1" applyBorder="1" applyAlignment="1">
      <alignment horizontal="center" vertical="center" wrapText="1"/>
    </xf>
    <xf numFmtId="0" fontId="197" fillId="0" borderId="14" xfId="0" applyFont="1" applyFill="1" applyBorder="1" applyAlignment="1">
      <alignment horizontal="center"/>
    </xf>
    <xf numFmtId="174" fontId="1" fillId="0" borderId="0" xfId="0" applyNumberFormat="1" applyFont="1" applyFill="1"/>
    <xf numFmtId="0" fontId="197" fillId="0" borderId="47" xfId="0" applyFont="1" applyFill="1" applyBorder="1" applyAlignment="1">
      <alignment horizontal="center"/>
    </xf>
    <xf numFmtId="0" fontId="197" fillId="0" borderId="0" xfId="0" applyFont="1" applyFill="1" applyBorder="1" applyAlignment="1">
      <alignment horizontal="center"/>
    </xf>
    <xf numFmtId="167" fontId="38" fillId="0" borderId="0" xfId="0" applyNumberFormat="1" applyFont="1" applyFill="1" applyAlignment="1">
      <alignment vertical="center"/>
    </xf>
    <xf numFmtId="43" fontId="195" fillId="0" borderId="14" xfId="77" applyNumberFormat="1" applyFont="1" applyBorder="1" applyAlignment="1">
      <alignment vertical="center" wrapText="1"/>
    </xf>
    <xf numFmtId="43" fontId="195" fillId="0" borderId="14" xfId="77" applyNumberFormat="1" applyFont="1" applyBorder="1" applyAlignment="1">
      <alignment wrapText="1"/>
    </xf>
    <xf numFmtId="166" fontId="0" fillId="0" borderId="14" xfId="77" applyNumberFormat="1" applyFont="1" applyBorder="1" applyAlignment="1">
      <alignment wrapText="1"/>
    </xf>
    <xf numFmtId="0" fontId="0" fillId="0" borderId="14" xfId="0" applyBorder="1" applyAlignment="1">
      <alignment wrapText="1"/>
    </xf>
    <xf numFmtId="43" fontId="0" fillId="0" borderId="14" xfId="77" applyNumberFormat="1" applyFont="1" applyBorder="1" applyAlignment="1">
      <alignment wrapText="1"/>
    </xf>
    <xf numFmtId="43" fontId="0" fillId="0" borderId="14" xfId="77" applyNumberFormat="1" applyFont="1" applyBorder="1"/>
    <xf numFmtId="173" fontId="28" fillId="0" borderId="14" xfId="0" applyNumberFormat="1" applyFont="1" applyBorder="1" applyAlignment="1">
      <alignment horizontal="center" vertical="top" wrapText="1"/>
    </xf>
    <xf numFmtId="175" fontId="37" fillId="0" borderId="0" xfId="0" applyNumberFormat="1" applyFont="1" applyAlignment="1">
      <alignment vertical="center"/>
    </xf>
    <xf numFmtId="175" fontId="28" fillId="0" borderId="32" xfId="0" applyNumberFormat="1" applyFont="1" applyBorder="1" applyAlignment="1">
      <alignment horizontal="right" vertical="center"/>
    </xf>
    <xf numFmtId="175" fontId="28" fillId="0" borderId="38" xfId="0" applyNumberFormat="1" applyFont="1" applyBorder="1" applyAlignment="1">
      <alignment horizontal="right" vertical="center"/>
    </xf>
    <xf numFmtId="0" fontId="34" fillId="0" borderId="0" xfId="0" applyFont="1" applyBorder="1" applyAlignment="1">
      <alignment vertical="center"/>
    </xf>
    <xf numFmtId="0" fontId="199" fillId="0" borderId="0" xfId="0" applyFont="1" applyBorder="1" applyAlignment="1">
      <alignment horizontal="right" vertical="center"/>
    </xf>
    <xf numFmtId="0" fontId="200" fillId="0" borderId="0" xfId="0" applyFont="1" applyBorder="1" applyAlignment="1">
      <alignment horizontal="right" vertical="center"/>
    </xf>
    <xf numFmtId="43" fontId="34" fillId="0" borderId="0" xfId="432" applyNumberFormat="1" applyFont="1" applyBorder="1" applyAlignment="1">
      <alignment vertical="center"/>
    </xf>
    <xf numFmtId="0" fontId="34" fillId="28" borderId="0" xfId="0" applyFont="1" applyFill="1" applyBorder="1" applyAlignment="1">
      <alignment vertical="center"/>
    </xf>
    <xf numFmtId="167" fontId="34" fillId="0" borderId="0" xfId="0" applyNumberFormat="1" applyFont="1" applyBorder="1" applyAlignment="1">
      <alignment vertical="center"/>
    </xf>
    <xf numFmtId="211" fontId="34" fillId="0" borderId="0" xfId="0" applyNumberFormat="1" applyFont="1" applyBorder="1" applyAlignment="1">
      <alignment vertical="center"/>
    </xf>
    <xf numFmtId="3" fontId="34" fillId="0" borderId="0" xfId="0" applyNumberFormat="1" applyFont="1" applyBorder="1" applyAlignment="1">
      <alignment vertical="center"/>
    </xf>
    <xf numFmtId="0" fontId="30" fillId="0" borderId="14" xfId="0" applyFont="1" applyFill="1" applyBorder="1" applyAlignment="1">
      <alignment horizontal="center" vertical="center" wrapText="1"/>
    </xf>
    <xf numFmtId="207" fontId="34" fillId="0" borderId="0" xfId="153" applyNumberFormat="1" applyFont="1" applyAlignment="1">
      <alignment vertical="center"/>
    </xf>
    <xf numFmtId="43" fontId="34" fillId="0" borderId="0" xfId="153" applyNumberFormat="1" applyFont="1" applyAlignment="1">
      <alignment vertical="center"/>
    </xf>
    <xf numFmtId="166" fontId="35" fillId="0" borderId="14" xfId="78" applyNumberFormat="1" applyFont="1" applyFill="1" applyBorder="1" applyAlignment="1">
      <alignment horizontal="right" vertical="center"/>
    </xf>
    <xf numFmtId="0" fontId="38" fillId="0" borderId="0" xfId="0" applyFont="1" applyBorder="1" applyAlignment="1">
      <alignment vertical="center"/>
    </xf>
    <xf numFmtId="186" fontId="38" fillId="0" borderId="0" xfId="0" applyNumberFormat="1" applyFont="1" applyBorder="1" applyAlignment="1">
      <alignment vertical="center"/>
    </xf>
    <xf numFmtId="0" fontId="202" fillId="0" borderId="0" xfId="0" applyFont="1" applyBorder="1" applyAlignment="1">
      <alignment vertical="center"/>
    </xf>
    <xf numFmtId="210" fontId="38" fillId="0" borderId="0" xfId="0" applyNumberFormat="1" applyFont="1" applyBorder="1" applyAlignment="1">
      <alignment vertical="center"/>
    </xf>
    <xf numFmtId="4" fontId="108" fillId="0" borderId="32" xfId="206" applyNumberFormat="1" applyFont="1" applyFill="1" applyBorder="1" applyAlignment="1">
      <alignment vertical="center"/>
    </xf>
    <xf numFmtId="3" fontId="111" fillId="0" borderId="32" xfId="206" applyNumberFormat="1" applyFont="1" applyFill="1" applyBorder="1" applyAlignment="1">
      <alignment vertical="center"/>
    </xf>
    <xf numFmtId="0" fontId="28" fillId="0" borderId="52" xfId="0" applyFont="1" applyFill="1" applyBorder="1" applyAlignment="1">
      <alignment horizontal="justify" vertical="center" wrapText="1"/>
    </xf>
    <xf numFmtId="166" fontId="1" fillId="0" borderId="0" xfId="79" applyNumberFormat="1" applyFont="1" applyAlignment="1">
      <alignment vertical="center"/>
    </xf>
    <xf numFmtId="208" fontId="34" fillId="0" borderId="0" xfId="153" applyNumberFormat="1" applyFont="1" applyAlignment="1">
      <alignment vertical="center"/>
    </xf>
    <xf numFmtId="4" fontId="28" fillId="0" borderId="0" xfId="153" applyNumberFormat="1" applyFont="1" applyAlignment="1">
      <alignment horizontal="right" vertical="center"/>
    </xf>
    <xf numFmtId="4" fontId="34" fillId="0" borderId="0" xfId="153" applyNumberFormat="1" applyFont="1" applyAlignment="1">
      <alignment horizontal="right" vertical="center"/>
    </xf>
    <xf numFmtId="4" fontId="30" fillId="0" borderId="14" xfId="153" applyNumberFormat="1" applyFont="1" applyFill="1" applyBorder="1" applyAlignment="1">
      <alignment horizontal="right" vertical="center" wrapText="1"/>
    </xf>
    <xf numFmtId="185" fontId="30" fillId="0" borderId="14" xfId="79" applyNumberFormat="1" applyFont="1" applyFill="1" applyBorder="1" applyAlignment="1">
      <alignment horizontal="center" vertical="center" wrapText="1"/>
    </xf>
    <xf numFmtId="0" fontId="111" fillId="0" borderId="32" xfId="206" applyFont="1" applyFill="1" applyBorder="1" applyAlignment="1">
      <alignment horizontal="center" vertical="center"/>
    </xf>
    <xf numFmtId="0" fontId="108" fillId="0" borderId="23" xfId="206" applyFont="1" applyFill="1" applyBorder="1" applyAlignment="1">
      <alignment horizontal="center" vertical="center" wrapText="1"/>
    </xf>
    <xf numFmtId="3" fontId="108" fillId="0" borderId="32" xfId="206" applyNumberFormat="1" applyFont="1" applyFill="1" applyBorder="1" applyAlignment="1">
      <alignment vertical="center"/>
    </xf>
    <xf numFmtId="0" fontId="111" fillId="0" borderId="32" xfId="206" applyFont="1" applyFill="1" applyBorder="1" applyAlignment="1">
      <alignment horizontal="center" vertical="center" wrapText="1"/>
    </xf>
    <xf numFmtId="0" fontId="111" fillId="0" borderId="32" xfId="206" applyFont="1" applyFill="1" applyBorder="1" applyAlignment="1">
      <alignment horizontal="justify" vertical="center" wrapText="1"/>
    </xf>
    <xf numFmtId="3" fontId="108" fillId="0" borderId="23" xfId="206" applyNumberFormat="1" applyFont="1" applyFill="1" applyBorder="1" applyAlignment="1">
      <alignment vertical="center"/>
    </xf>
    <xf numFmtId="0" fontId="111" fillId="0" borderId="23" xfId="206" applyFont="1" applyFill="1" applyBorder="1" applyAlignment="1">
      <alignment horizontal="center" vertical="center" wrapText="1"/>
    </xf>
    <xf numFmtId="0" fontId="111" fillId="0" borderId="16" xfId="206" applyFont="1" applyFill="1" applyBorder="1" applyAlignment="1">
      <alignment horizontal="center" vertical="center" wrapText="1"/>
    </xf>
    <xf numFmtId="0" fontId="108" fillId="0" borderId="52" xfId="206" applyFont="1" applyFill="1" applyBorder="1" applyAlignment="1">
      <alignment horizontal="center" vertical="center" wrapText="1"/>
    </xf>
    <xf numFmtId="3" fontId="108" fillId="0" borderId="52" xfId="206" applyNumberFormat="1" applyFont="1" applyFill="1" applyBorder="1" applyAlignment="1">
      <alignment vertical="center"/>
    </xf>
    <xf numFmtId="3" fontId="108" fillId="0" borderId="16" xfId="206" applyNumberFormat="1" applyFont="1" applyFill="1" applyBorder="1" applyAlignment="1">
      <alignment vertical="center"/>
    </xf>
    <xf numFmtId="0" fontId="28" fillId="0" borderId="16" xfId="206" applyFont="1" applyFill="1" applyBorder="1" applyAlignment="1">
      <alignment horizontal="justify" vertical="center" wrapText="1"/>
    </xf>
    <xf numFmtId="0" fontId="30" fillId="30" borderId="0" xfId="206" applyFont="1" applyFill="1" applyAlignment="1">
      <alignment vertical="center"/>
    </xf>
    <xf numFmtId="3" fontId="30" fillId="0" borderId="23" xfId="206" applyNumberFormat="1" applyFont="1" applyFill="1" applyBorder="1" applyAlignment="1">
      <alignment vertical="center"/>
    </xf>
    <xf numFmtId="3" fontId="108" fillId="0" borderId="23" xfId="206" applyNumberFormat="1" applyFont="1" applyFill="1" applyBorder="1" applyAlignment="1">
      <alignment vertical="center" wrapText="1"/>
    </xf>
    <xf numFmtId="0" fontId="108" fillId="0" borderId="32" xfId="206" applyFont="1" applyFill="1" applyBorder="1" applyAlignment="1">
      <alignment horizontal="left" vertical="center" wrapText="1"/>
    </xf>
    <xf numFmtId="0" fontId="111" fillId="0" borderId="32" xfId="206" applyFont="1" applyFill="1" applyBorder="1" applyAlignment="1">
      <alignment horizontal="left" vertical="center" wrapText="1"/>
    </xf>
    <xf numFmtId="1" fontId="28" fillId="30" borderId="0" xfId="206" applyNumberFormat="1" applyFont="1" applyFill="1" applyAlignment="1">
      <alignment vertical="center"/>
    </xf>
    <xf numFmtId="0" fontId="28" fillId="30" borderId="23" xfId="206" applyFont="1" applyFill="1" applyBorder="1" applyAlignment="1">
      <alignment vertical="center"/>
    </xf>
    <xf numFmtId="3" fontId="111" fillId="0" borderId="23" xfId="206" applyNumberFormat="1" applyFont="1" applyFill="1" applyBorder="1" applyAlignment="1">
      <alignment vertical="center"/>
    </xf>
    <xf numFmtId="3" fontId="28" fillId="0" borderId="23" xfId="206" applyNumberFormat="1" applyFont="1" applyFill="1" applyBorder="1" applyAlignment="1">
      <alignment vertical="center"/>
    </xf>
    <xf numFmtId="1" fontId="28" fillId="30" borderId="23" xfId="206" applyNumberFormat="1" applyFont="1" applyFill="1" applyBorder="1" applyAlignment="1">
      <alignment vertical="center"/>
    </xf>
    <xf numFmtId="3" fontId="108" fillId="0" borderId="38" xfId="206" applyNumberFormat="1" applyFont="1" applyFill="1" applyBorder="1" applyAlignment="1">
      <alignment vertical="center"/>
    </xf>
    <xf numFmtId="3" fontId="28" fillId="0" borderId="38" xfId="206" applyNumberFormat="1" applyFont="1" applyFill="1" applyBorder="1" applyAlignment="1">
      <alignment vertical="center"/>
    </xf>
    <xf numFmtId="1" fontId="28" fillId="30" borderId="38" xfId="206" applyNumberFormat="1" applyFont="1" applyFill="1" applyBorder="1" applyAlignment="1">
      <alignment vertical="center"/>
    </xf>
    <xf numFmtId="0" fontId="111" fillId="30" borderId="28" xfId="206" applyFont="1" applyFill="1" applyBorder="1" applyAlignment="1">
      <alignment horizontal="center" vertical="center"/>
    </xf>
    <xf numFmtId="0" fontId="111" fillId="30" borderId="28" xfId="206" applyFont="1" applyFill="1" applyBorder="1" applyAlignment="1">
      <alignment horizontal="left" vertical="center" wrapText="1"/>
    </xf>
    <xf numFmtId="0" fontId="108" fillId="30" borderId="28" xfId="206" applyFont="1" applyFill="1" applyBorder="1" applyAlignment="1">
      <alignment horizontal="center" vertical="center"/>
    </xf>
    <xf numFmtId="3" fontId="180" fillId="0" borderId="28" xfId="206" applyNumberFormat="1" applyFont="1" applyFill="1" applyBorder="1" applyAlignment="1">
      <alignment vertical="center"/>
    </xf>
    <xf numFmtId="3" fontId="82" fillId="0" borderId="28" xfId="206" applyNumberFormat="1" applyFont="1" applyFill="1" applyBorder="1" applyAlignment="1">
      <alignment vertical="center"/>
    </xf>
    <xf numFmtId="1" fontId="28" fillId="30" borderId="28" xfId="206" applyNumberFormat="1" applyFont="1" applyFill="1" applyBorder="1" applyAlignment="1">
      <alignment vertical="center"/>
    </xf>
    <xf numFmtId="0" fontId="30" fillId="30" borderId="23" xfId="206" applyFont="1" applyFill="1" applyBorder="1" applyAlignment="1">
      <alignment horizontal="center" vertical="center"/>
    </xf>
    <xf numFmtId="0" fontId="30" fillId="30" borderId="23" xfId="206" applyFont="1" applyFill="1" applyBorder="1" applyAlignment="1">
      <alignment horizontal="left" vertical="center" wrapText="1"/>
    </xf>
    <xf numFmtId="0" fontId="108" fillId="30" borderId="23" xfId="206" applyFont="1" applyFill="1" applyBorder="1" applyAlignment="1">
      <alignment horizontal="center" vertical="center"/>
    </xf>
    <xf numFmtId="0" fontId="108" fillId="30" borderId="23" xfId="206" applyFont="1" applyFill="1" applyBorder="1" applyAlignment="1">
      <alignment horizontal="left" vertical="center" wrapText="1"/>
    </xf>
    <xf numFmtId="3" fontId="108" fillId="30" borderId="23" xfId="206" applyNumberFormat="1" applyFont="1" applyFill="1" applyBorder="1" applyAlignment="1">
      <alignment horizontal="center" vertical="center"/>
    </xf>
    <xf numFmtId="3" fontId="108" fillId="30" borderId="23" xfId="206" applyNumberFormat="1" applyFont="1" applyFill="1" applyBorder="1" applyAlignment="1">
      <alignment vertical="center"/>
    </xf>
    <xf numFmtId="0" fontId="108" fillId="30" borderId="23" xfId="206" applyFont="1" applyFill="1" applyBorder="1" applyAlignment="1">
      <alignment horizontal="center" vertical="center" wrapText="1"/>
    </xf>
    <xf numFmtId="0" fontId="108" fillId="30" borderId="38" xfId="206" applyFont="1" applyFill="1" applyBorder="1" applyAlignment="1">
      <alignment horizontal="center" vertical="center"/>
    </xf>
    <xf numFmtId="0" fontId="108" fillId="30" borderId="38" xfId="206" applyFont="1" applyFill="1" applyBorder="1" applyAlignment="1">
      <alignment horizontal="left" vertical="center" wrapText="1"/>
    </xf>
    <xf numFmtId="3" fontId="108" fillId="30" borderId="38" xfId="206" applyNumberFormat="1" applyFont="1" applyFill="1" applyBorder="1" applyAlignment="1">
      <alignment horizontal="center" vertical="center"/>
    </xf>
    <xf numFmtId="3" fontId="108" fillId="30" borderId="38" xfId="206" applyNumberFormat="1" applyFont="1" applyFill="1" applyBorder="1" applyAlignment="1">
      <alignment vertical="center"/>
    </xf>
    <xf numFmtId="3" fontId="108" fillId="30" borderId="28" xfId="206" applyNumberFormat="1" applyFont="1" applyFill="1" applyBorder="1" applyAlignment="1">
      <alignment horizontal="center" vertical="center"/>
    </xf>
    <xf numFmtId="3" fontId="194" fillId="30" borderId="28" xfId="206" applyNumberFormat="1" applyFont="1" applyFill="1" applyBorder="1" applyAlignment="1">
      <alignment vertical="center"/>
    </xf>
    <xf numFmtId="3" fontId="108" fillId="30" borderId="28" xfId="206" applyNumberFormat="1" applyFont="1" applyFill="1" applyBorder="1" applyAlignment="1">
      <alignment vertical="center"/>
    </xf>
    <xf numFmtId="3" fontId="108" fillId="0" borderId="28" xfId="206" applyNumberFormat="1" applyFont="1" applyFill="1" applyBorder="1" applyAlignment="1">
      <alignment vertical="center"/>
    </xf>
    <xf numFmtId="3" fontId="111" fillId="0" borderId="28" xfId="206" applyNumberFormat="1" applyFont="1" applyFill="1" applyBorder="1" applyAlignment="1">
      <alignment vertical="center"/>
    </xf>
    <xf numFmtId="3" fontId="30" fillId="0" borderId="28" xfId="206" applyNumberFormat="1" applyFont="1" applyFill="1" applyBorder="1" applyAlignment="1">
      <alignment vertical="center"/>
    </xf>
    <xf numFmtId="3" fontId="30" fillId="30" borderId="23" xfId="206" applyNumberFormat="1" applyFont="1" applyFill="1" applyBorder="1" applyAlignment="1">
      <alignment horizontal="center" vertical="center"/>
    </xf>
    <xf numFmtId="3" fontId="30" fillId="30" borderId="23" xfId="206" applyNumberFormat="1" applyFont="1" applyFill="1" applyBorder="1" applyAlignment="1">
      <alignment vertical="center"/>
    </xf>
    <xf numFmtId="0" fontId="30" fillId="30" borderId="23" xfId="206" applyFont="1" applyFill="1" applyBorder="1" applyAlignment="1">
      <alignment vertical="center"/>
    </xf>
    <xf numFmtId="0" fontId="204" fillId="30" borderId="23" xfId="206" applyFont="1" applyFill="1" applyBorder="1" applyAlignment="1">
      <alignment horizontal="left" vertical="center" wrapText="1"/>
    </xf>
    <xf numFmtId="3" fontId="108" fillId="30" borderId="23" xfId="77" applyNumberFormat="1" applyFont="1" applyFill="1" applyBorder="1" applyAlignment="1">
      <alignment vertical="center"/>
    </xf>
    <xf numFmtId="0" fontId="30" fillId="30" borderId="23" xfId="206" applyFont="1" applyFill="1" applyBorder="1" applyAlignment="1">
      <alignment horizontal="center" vertical="center" wrapText="1"/>
    </xf>
    <xf numFmtId="3" fontId="30" fillId="30" borderId="23" xfId="77" applyNumberFormat="1" applyFont="1" applyFill="1" applyBorder="1" applyAlignment="1">
      <alignment vertical="center"/>
    </xf>
    <xf numFmtId="0" fontId="30" fillId="30" borderId="38" xfId="206" applyFont="1" applyFill="1" applyBorder="1" applyAlignment="1">
      <alignment horizontal="center" vertical="center"/>
    </xf>
    <xf numFmtId="0" fontId="30" fillId="30" borderId="38" xfId="206" applyFont="1" applyFill="1" applyBorder="1" applyAlignment="1">
      <alignment horizontal="left" vertical="center" wrapText="1"/>
    </xf>
    <xf numFmtId="3" fontId="30" fillId="30" borderId="38" xfId="206" applyNumberFormat="1" applyFont="1" applyFill="1" applyBorder="1" applyAlignment="1">
      <alignment horizontal="center" vertical="center"/>
    </xf>
    <xf numFmtId="3" fontId="30" fillId="30" borderId="38" xfId="77" applyNumberFormat="1" applyFont="1" applyFill="1" applyBorder="1" applyAlignment="1">
      <alignment vertical="center"/>
    </xf>
    <xf numFmtId="3" fontId="30" fillId="0" borderId="38" xfId="206" applyNumberFormat="1" applyFont="1" applyFill="1" applyBorder="1" applyAlignment="1">
      <alignment vertical="center"/>
    </xf>
    <xf numFmtId="1" fontId="28" fillId="30" borderId="23" xfId="206" applyNumberFormat="1" applyFont="1" applyFill="1" applyBorder="1" applyAlignment="1">
      <alignment horizontal="left" vertical="center" indent="3"/>
    </xf>
    <xf numFmtId="1" fontId="30" fillId="30" borderId="23" xfId="206" applyNumberFormat="1" applyFont="1" applyFill="1" applyBorder="1" applyAlignment="1">
      <alignment vertical="center"/>
    </xf>
    <xf numFmtId="1" fontId="30" fillId="30" borderId="38" xfId="206" applyNumberFormat="1" applyFont="1" applyFill="1" applyBorder="1" applyAlignment="1">
      <alignment vertical="center"/>
    </xf>
    <xf numFmtId="3" fontId="30" fillId="0" borderId="14" xfId="153" applyNumberFormat="1" applyFont="1" applyFill="1" applyBorder="1" applyAlignment="1">
      <alignment horizontal="right" vertical="center" wrapText="1"/>
    </xf>
    <xf numFmtId="3" fontId="28" fillId="0" borderId="14" xfId="153" applyNumberFormat="1" applyFont="1" applyFill="1" applyBorder="1" applyAlignment="1">
      <alignment horizontal="right" vertical="center"/>
    </xf>
    <xf numFmtId="3" fontId="28" fillId="0" borderId="14" xfId="153" applyNumberFormat="1" applyFont="1" applyBorder="1" applyAlignment="1">
      <alignment horizontal="right" vertical="center"/>
    </xf>
    <xf numFmtId="43" fontId="28" fillId="30" borderId="0" xfId="77" applyFont="1" applyFill="1" applyAlignment="1">
      <alignment vertical="center"/>
    </xf>
    <xf numFmtId="43" fontId="28" fillId="30" borderId="0" xfId="206" applyNumberFormat="1" applyFont="1" applyFill="1" applyAlignment="1">
      <alignment vertical="center"/>
    </xf>
    <xf numFmtId="0" fontId="30" fillId="0" borderId="25" xfId="0" applyFont="1" applyFill="1" applyBorder="1" applyAlignment="1">
      <alignment horizontal="center" vertical="center" wrapText="1"/>
    </xf>
    <xf numFmtId="0" fontId="186" fillId="0" borderId="0" xfId="0" applyFont="1" applyFill="1" applyBorder="1" applyAlignment="1">
      <alignment horizontal="center" vertical="center" wrapText="1"/>
    </xf>
    <xf numFmtId="0" fontId="186" fillId="0" borderId="68"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0" xfId="0" applyFont="1" applyFill="1" applyAlignment="1">
      <alignment horizontal="center" vertical="center"/>
    </xf>
    <xf numFmtId="174" fontId="86" fillId="0" borderId="0" xfId="0" applyNumberFormat="1" applyFont="1" applyFill="1" applyAlignment="1">
      <alignment horizontal="right" vertical="center"/>
    </xf>
    <xf numFmtId="174" fontId="28" fillId="0" borderId="0" xfId="0" applyNumberFormat="1" applyFont="1" applyFill="1" applyAlignment="1">
      <alignment vertical="center"/>
    </xf>
    <xf numFmtId="9" fontId="181" fillId="0" borderId="38" xfId="0" applyNumberFormat="1" applyFont="1" applyFill="1" applyBorder="1" applyAlignment="1">
      <alignment horizontal="center" vertical="center" wrapText="1"/>
    </xf>
    <xf numFmtId="0" fontId="30" fillId="0" borderId="14" xfId="0" applyFont="1" applyFill="1" applyBorder="1" applyAlignment="1">
      <alignment horizontal="right" vertical="center"/>
    </xf>
    <xf numFmtId="184" fontId="30" fillId="0" borderId="14" xfId="77" applyNumberFormat="1" applyFont="1" applyFill="1" applyBorder="1" applyAlignment="1">
      <alignment vertical="center"/>
    </xf>
    <xf numFmtId="0" fontId="38" fillId="0" borderId="0" xfId="0" applyFont="1" applyFill="1" applyAlignment="1">
      <alignment vertical="center"/>
    </xf>
    <xf numFmtId="0" fontId="28" fillId="0" borderId="14" xfId="0" applyFont="1" applyFill="1" applyBorder="1" applyAlignment="1">
      <alignment horizontal="right" vertical="center"/>
    </xf>
    <xf numFmtId="0" fontId="199" fillId="0" borderId="14" xfId="0" applyFont="1" applyFill="1" applyBorder="1" applyAlignment="1">
      <alignment horizontal="right" vertical="center"/>
    </xf>
    <xf numFmtId="43" fontId="28" fillId="0" borderId="54" xfId="77" applyNumberFormat="1" applyFont="1" applyFill="1" applyBorder="1" applyAlignment="1">
      <alignment vertical="center"/>
    </xf>
    <xf numFmtId="0" fontId="202" fillId="0" borderId="14" xfId="0" applyFont="1" applyFill="1" applyBorder="1" applyAlignment="1">
      <alignment vertical="center"/>
    </xf>
    <xf numFmtId="184" fontId="34" fillId="0" borderId="0" xfId="0" applyNumberFormat="1" applyFont="1" applyFill="1" applyAlignment="1">
      <alignment vertical="center"/>
    </xf>
    <xf numFmtId="166" fontId="34" fillId="0" borderId="0" xfId="77" applyNumberFormat="1" applyFont="1" applyFill="1" applyAlignment="1">
      <alignment vertical="center"/>
    </xf>
    <xf numFmtId="0" fontId="38" fillId="0" borderId="0" xfId="0" applyFont="1" applyFill="1" applyAlignment="1">
      <alignment horizontal="center" vertical="center"/>
    </xf>
    <xf numFmtId="166" fontId="38" fillId="0" borderId="0" xfId="77" applyNumberFormat="1" applyFont="1" applyFill="1" applyAlignment="1">
      <alignment vertical="center"/>
    </xf>
    <xf numFmtId="166" fontId="30" fillId="0" borderId="14" xfId="77" applyNumberFormat="1" applyFont="1" applyFill="1" applyBorder="1" applyAlignment="1">
      <alignment horizontal="center" vertical="center" wrapText="1"/>
    </xf>
    <xf numFmtId="4" fontId="30" fillId="0" borderId="14" xfId="0" applyNumberFormat="1" applyFont="1" applyFill="1" applyBorder="1" applyAlignment="1">
      <alignment horizontal="right" vertical="center" wrapText="1"/>
    </xf>
    <xf numFmtId="0" fontId="28" fillId="0" borderId="14" xfId="0" applyNumberFormat="1" applyFont="1" applyFill="1" applyBorder="1" applyAlignment="1">
      <alignment horizontal="center" vertical="center"/>
    </xf>
    <xf numFmtId="0" fontId="28" fillId="0" borderId="14" xfId="0" applyNumberFormat="1" applyFont="1" applyFill="1" applyBorder="1" applyAlignment="1">
      <alignment horizontal="left" vertical="center" wrapText="1"/>
    </xf>
    <xf numFmtId="3" fontId="28" fillId="0" borderId="14" xfId="77" applyNumberFormat="1" applyFont="1" applyFill="1" applyBorder="1" applyAlignment="1">
      <alignment horizontal="right" vertical="center"/>
    </xf>
    <xf numFmtId="165" fontId="28" fillId="0" borderId="14" xfId="77" applyNumberFormat="1" applyFont="1" applyFill="1" applyBorder="1" applyAlignment="1">
      <alignment horizontal="right" vertical="center"/>
    </xf>
    <xf numFmtId="175" fontId="28" fillId="0" borderId="14" xfId="0" applyNumberFormat="1" applyFont="1" applyFill="1" applyBorder="1" applyAlignment="1">
      <alignment horizontal="right" vertical="center"/>
    </xf>
    <xf numFmtId="4" fontId="28" fillId="0" borderId="14" xfId="0" applyNumberFormat="1" applyFont="1" applyFill="1" applyBorder="1" applyAlignment="1">
      <alignment horizontal="right" vertical="center"/>
    </xf>
    <xf numFmtId="9" fontId="181" fillId="0" borderId="14" xfId="0" applyNumberFormat="1" applyFont="1" applyFill="1" applyBorder="1" applyAlignment="1">
      <alignment horizontal="center" vertical="center" wrapText="1"/>
    </xf>
    <xf numFmtId="4" fontId="35" fillId="0" borderId="14" xfId="0" applyNumberFormat="1" applyFont="1" applyFill="1" applyBorder="1" applyAlignment="1">
      <alignment horizontal="right" vertical="center"/>
    </xf>
    <xf numFmtId="0" fontId="28" fillId="0" borderId="28" xfId="0" applyFont="1" applyFill="1" applyBorder="1" applyAlignment="1">
      <alignment horizontal="center"/>
    </xf>
    <xf numFmtId="0" fontId="32" fillId="0" borderId="28" xfId="0" applyFont="1" applyFill="1" applyBorder="1" applyAlignment="1">
      <alignment horizontal="center"/>
    </xf>
    <xf numFmtId="0" fontId="32" fillId="0" borderId="28" xfId="0" applyFont="1" applyFill="1" applyBorder="1" applyAlignment="1">
      <alignment horizontal="right"/>
    </xf>
    <xf numFmtId="0" fontId="30" fillId="0" borderId="23" xfId="0" applyFont="1" applyFill="1" applyBorder="1" applyAlignment="1">
      <alignment horizontal="center"/>
    </xf>
    <xf numFmtId="0" fontId="32" fillId="0" borderId="23" xfId="0" applyFont="1" applyFill="1" applyBorder="1" applyAlignment="1">
      <alignment horizontal="center"/>
    </xf>
    <xf numFmtId="0" fontId="32" fillId="0" borderId="23" xfId="0" applyFont="1" applyFill="1" applyBorder="1" applyAlignment="1">
      <alignment horizontal="right"/>
    </xf>
    <xf numFmtId="0" fontId="28" fillId="0" borderId="23" xfId="0" applyFont="1" applyFill="1" applyBorder="1" applyAlignment="1">
      <alignment horizontal="center"/>
    </xf>
    <xf numFmtId="166" fontId="28" fillId="0" borderId="23" xfId="0" applyNumberFormat="1" applyFont="1" applyFill="1" applyBorder="1" applyAlignment="1">
      <alignment horizontal="right"/>
    </xf>
    <xf numFmtId="166" fontId="28" fillId="0" borderId="23" xfId="77" applyNumberFormat="1" applyFont="1" applyFill="1" applyBorder="1" applyAlignment="1">
      <alignment horizontal="right"/>
    </xf>
    <xf numFmtId="2" fontId="28" fillId="0" borderId="23" xfId="0" applyNumberFormat="1" applyFont="1" applyFill="1" applyBorder="1" applyAlignment="1">
      <alignment horizontal="center"/>
    </xf>
    <xf numFmtId="0" fontId="30" fillId="0" borderId="23" xfId="0" applyFont="1" applyFill="1" applyBorder="1" applyAlignment="1">
      <alignment horizontal="left"/>
    </xf>
    <xf numFmtId="2" fontId="97" fillId="0" borderId="23" xfId="0" applyNumberFormat="1" applyFont="1" applyFill="1" applyBorder="1" applyAlignment="1">
      <alignment horizontal="center"/>
    </xf>
    <xf numFmtId="0" fontId="28" fillId="0" borderId="0" xfId="0" applyFont="1" applyFill="1" applyAlignment="1">
      <alignment horizontal="center"/>
    </xf>
    <xf numFmtId="0" fontId="95" fillId="0" borderId="32" xfId="0" applyFont="1" applyFill="1" applyBorder="1" applyAlignment="1">
      <alignment horizontal="center"/>
    </xf>
    <xf numFmtId="0" fontId="32" fillId="0" borderId="32" xfId="0" applyFont="1" applyFill="1" applyBorder="1" applyAlignment="1">
      <alignment horizontal="right"/>
    </xf>
    <xf numFmtId="166" fontId="28" fillId="0" borderId="32" xfId="77" applyNumberFormat="1" applyFont="1" applyFill="1" applyBorder="1" applyAlignment="1">
      <alignment horizontal="right"/>
    </xf>
    <xf numFmtId="0" fontId="95" fillId="0" borderId="23" xfId="0" applyFont="1" applyFill="1" applyBorder="1" applyAlignment="1">
      <alignment horizontal="center"/>
    </xf>
    <xf numFmtId="166" fontId="97" fillId="0" borderId="32" xfId="0" applyNumberFormat="1" applyFont="1" applyFill="1" applyBorder="1" applyAlignment="1">
      <alignment horizontal="right"/>
    </xf>
    <xf numFmtId="166" fontId="97" fillId="0" borderId="32" xfId="77" applyNumberFormat="1" applyFont="1" applyFill="1" applyBorder="1" applyAlignment="1">
      <alignment horizontal="right"/>
    </xf>
    <xf numFmtId="0" fontId="179" fillId="0" borderId="34" xfId="0" applyFont="1" applyFill="1" applyBorder="1" applyAlignment="1">
      <alignment horizontal="left"/>
    </xf>
    <xf numFmtId="2" fontId="97" fillId="0" borderId="35" xfId="0" applyNumberFormat="1" applyFont="1" applyFill="1" applyBorder="1" applyAlignment="1">
      <alignment horizontal="center"/>
    </xf>
    <xf numFmtId="166" fontId="97" fillId="0" borderId="23" xfId="0" applyNumberFormat="1" applyFont="1" applyFill="1" applyBorder="1" applyAlignment="1">
      <alignment horizontal="right"/>
    </xf>
    <xf numFmtId="166" fontId="97" fillId="0" borderId="23" xfId="77" applyNumberFormat="1" applyFont="1" applyFill="1" applyBorder="1" applyAlignment="1">
      <alignment horizontal="right"/>
    </xf>
    <xf numFmtId="43" fontId="97" fillId="0" borderId="23" xfId="77" applyNumberFormat="1" applyFont="1" applyFill="1" applyBorder="1" applyAlignment="1">
      <alignment horizontal="right"/>
    </xf>
    <xf numFmtId="0" fontId="28" fillId="0" borderId="34" xfId="0" applyFont="1" applyFill="1" applyBorder="1" applyAlignment="1">
      <alignment horizontal="left"/>
    </xf>
    <xf numFmtId="0" fontId="28" fillId="0" borderId="43" xfId="0" applyFont="1" applyFill="1" applyBorder="1" applyAlignment="1">
      <alignment horizontal="left"/>
    </xf>
    <xf numFmtId="0" fontId="30" fillId="0" borderId="47" xfId="0" applyFont="1" applyFill="1" applyBorder="1" applyAlignment="1">
      <alignment horizontal="left"/>
    </xf>
    <xf numFmtId="166" fontId="28" fillId="0" borderId="52" xfId="0" applyNumberFormat="1" applyFont="1" applyFill="1" applyBorder="1" applyAlignment="1">
      <alignment horizontal="right"/>
    </xf>
    <xf numFmtId="166" fontId="28" fillId="0" borderId="52" xfId="77" applyNumberFormat="1" applyFont="1" applyFill="1" applyBorder="1" applyAlignment="1">
      <alignment horizontal="right"/>
    </xf>
    <xf numFmtId="43" fontId="28" fillId="0" borderId="52" xfId="77" applyNumberFormat="1" applyFont="1" applyFill="1" applyBorder="1" applyAlignment="1">
      <alignment horizontal="right"/>
    </xf>
    <xf numFmtId="0" fontId="28" fillId="0" borderId="14" xfId="0" applyFont="1" applyFill="1" applyBorder="1" applyAlignment="1">
      <alignment horizontal="center"/>
    </xf>
    <xf numFmtId="166" fontId="176" fillId="0" borderId="14" xfId="77" applyNumberFormat="1" applyFont="1" applyFill="1" applyBorder="1" applyAlignment="1">
      <alignment horizontal="center"/>
    </xf>
    <xf numFmtId="9" fontId="28" fillId="0" borderId="14" xfId="0" applyNumberFormat="1" applyFont="1" applyFill="1" applyBorder="1" applyAlignment="1">
      <alignment horizontal="center"/>
    </xf>
    <xf numFmtId="209" fontId="28" fillId="0" borderId="14" xfId="0" applyNumberFormat="1" applyFont="1" applyFill="1" applyBorder="1" applyAlignment="1">
      <alignment horizontal="center"/>
    </xf>
    <xf numFmtId="184" fontId="30" fillId="0" borderId="14" xfId="77" applyNumberFormat="1" applyFont="1" applyFill="1" applyBorder="1" applyAlignment="1">
      <alignment horizontal="center" vertical="center" wrapText="1"/>
    </xf>
    <xf numFmtId="184" fontId="28" fillId="0" borderId="14" xfId="77" applyNumberFormat="1" applyFont="1" applyFill="1" applyBorder="1" applyAlignment="1">
      <alignment horizontal="center" vertical="center" wrapText="1"/>
    </xf>
    <xf numFmtId="43" fontId="30" fillId="0" borderId="14" xfId="77" applyFont="1" applyFill="1" applyBorder="1" applyAlignment="1">
      <alignment vertical="center"/>
    </xf>
    <xf numFmtId="43" fontId="28" fillId="0" borderId="14" xfId="77" applyNumberFormat="1" applyFont="1" applyFill="1" applyBorder="1" applyAlignment="1">
      <alignment horizontal="center" vertical="center" wrapText="1"/>
    </xf>
    <xf numFmtId="3" fontId="28" fillId="0" borderId="23" xfId="0" applyNumberFormat="1" applyFont="1" applyFill="1" applyBorder="1" applyAlignment="1">
      <alignment vertical="center"/>
    </xf>
    <xf numFmtId="166" fontId="28" fillId="0" borderId="23" xfId="77" applyNumberFormat="1" applyFont="1" applyFill="1" applyBorder="1" applyAlignment="1">
      <alignment horizontal="right" vertical="center"/>
    </xf>
    <xf numFmtId="3" fontId="28" fillId="0" borderId="38" xfId="0" applyNumberFormat="1" applyFont="1" applyBorder="1" applyAlignment="1">
      <alignment horizontal="right" vertical="center"/>
    </xf>
    <xf numFmtId="173" fontId="28" fillId="0" borderId="23" xfId="0" applyNumberFormat="1" applyFont="1" applyFill="1" applyBorder="1" applyAlignment="1">
      <alignment horizontal="right" vertical="center"/>
    </xf>
    <xf numFmtId="173" fontId="28" fillId="0" borderId="32" xfId="0" applyNumberFormat="1" applyFont="1" applyFill="1" applyBorder="1" applyAlignment="1">
      <alignment horizontal="right" vertical="center"/>
    </xf>
    <xf numFmtId="0" fontId="30" fillId="0" borderId="28" xfId="0" applyFont="1" applyFill="1" applyBorder="1" applyAlignment="1">
      <alignment horizontal="center" vertical="center" wrapText="1"/>
    </xf>
    <xf numFmtId="3" fontId="30" fillId="0" borderId="28" xfId="0" applyNumberFormat="1" applyFont="1" applyFill="1" applyBorder="1" applyAlignment="1">
      <alignment horizontal="center" vertical="center" wrapText="1"/>
    </xf>
    <xf numFmtId="0" fontId="28" fillId="0" borderId="23" xfId="0" applyNumberFormat="1" applyFont="1" applyFill="1" applyBorder="1" applyAlignment="1">
      <alignment horizontal="center" vertical="center"/>
    </xf>
    <xf numFmtId="3" fontId="28" fillId="0" borderId="32" xfId="0" applyNumberFormat="1" applyFont="1" applyFill="1" applyBorder="1" applyAlignment="1">
      <alignment horizontal="right" vertical="center"/>
    </xf>
    <xf numFmtId="0" fontId="28" fillId="0" borderId="38" xfId="0" applyNumberFormat="1" applyFont="1" applyFill="1" applyBorder="1" applyAlignment="1">
      <alignment horizontal="center" vertical="center"/>
    </xf>
    <xf numFmtId="9" fontId="28" fillId="0" borderId="38" xfId="166" applyFont="1" applyFill="1" applyBorder="1" applyAlignment="1">
      <alignment horizontal="center" vertical="center"/>
    </xf>
    <xf numFmtId="3" fontId="28" fillId="0" borderId="38" xfId="0" applyNumberFormat="1" applyFont="1" applyFill="1" applyBorder="1" applyAlignment="1">
      <alignment vertical="center"/>
    </xf>
    <xf numFmtId="3" fontId="28" fillId="0" borderId="38" xfId="0" applyNumberFormat="1" applyFont="1" applyFill="1" applyBorder="1" applyAlignment="1">
      <alignment horizontal="right" vertical="center"/>
    </xf>
    <xf numFmtId="166" fontId="28" fillId="0" borderId="52" xfId="77"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9" fontId="28" fillId="0" borderId="38" xfId="166" applyFont="1" applyFill="1" applyBorder="1" applyAlignment="1">
      <alignment horizontal="right" vertical="center"/>
    </xf>
    <xf numFmtId="3" fontId="28" fillId="0" borderId="23" xfId="0" applyNumberFormat="1" applyFont="1" applyFill="1" applyBorder="1" applyAlignment="1">
      <alignment horizontal="left" vertical="center" wrapText="1"/>
    </xf>
    <xf numFmtId="166" fontId="28" fillId="0" borderId="38" xfId="77" applyNumberFormat="1" applyFont="1" applyFill="1" applyBorder="1" applyAlignment="1">
      <alignment horizontal="right" vertical="center"/>
    </xf>
    <xf numFmtId="3" fontId="28" fillId="0" borderId="38" xfId="0" applyNumberFormat="1" applyFont="1" applyFill="1" applyBorder="1" applyAlignment="1">
      <alignment horizontal="left" vertical="center" wrapText="1"/>
    </xf>
    <xf numFmtId="0" fontId="187" fillId="0" borderId="0" xfId="0" applyFont="1" applyFill="1"/>
    <xf numFmtId="0" fontId="188" fillId="0" borderId="0" xfId="0" applyFont="1" applyFill="1"/>
    <xf numFmtId="185" fontId="28" fillId="0" borderId="0" xfId="79" applyNumberFormat="1" applyFont="1" applyFill="1" applyAlignment="1">
      <alignment horizontal="right" vertical="center"/>
    </xf>
    <xf numFmtId="4" fontId="28" fillId="0" borderId="0" xfId="153" applyNumberFormat="1" applyFont="1" applyFill="1" applyAlignment="1">
      <alignment horizontal="left" vertical="center"/>
    </xf>
    <xf numFmtId="0" fontId="189" fillId="0" borderId="14" xfId="0" applyFont="1" applyFill="1" applyBorder="1" applyAlignment="1">
      <alignment horizontal="center" vertical="center" wrapText="1"/>
    </xf>
    <xf numFmtId="174" fontId="189" fillId="0" borderId="14" xfId="0" applyNumberFormat="1" applyFont="1" applyFill="1" applyBorder="1" applyAlignment="1">
      <alignment horizontal="center" vertical="center" wrapText="1"/>
    </xf>
    <xf numFmtId="3" fontId="189" fillId="0" borderId="63" xfId="0" applyNumberFormat="1" applyFont="1" applyFill="1" applyBorder="1" applyAlignment="1">
      <alignment horizontal="center" vertical="center" wrapText="1"/>
    </xf>
    <xf numFmtId="174" fontId="189" fillId="0" borderId="15" xfId="0" applyNumberFormat="1" applyFont="1" applyFill="1" applyBorder="1" applyAlignment="1">
      <alignment horizontal="center" vertical="center" wrapText="1"/>
    </xf>
    <xf numFmtId="3" fontId="189" fillId="0" borderId="56" xfId="0" applyNumberFormat="1" applyFont="1" applyFill="1" applyBorder="1" applyAlignment="1">
      <alignment horizontal="center" vertical="center" wrapText="1"/>
    </xf>
    <xf numFmtId="3" fontId="187" fillId="0" borderId="0" xfId="0" applyNumberFormat="1" applyFont="1" applyFill="1"/>
    <xf numFmtId="0" fontId="189" fillId="0" borderId="14" xfId="0" applyFont="1" applyFill="1" applyBorder="1" applyAlignment="1">
      <alignment vertical="center" wrapText="1"/>
    </xf>
    <xf numFmtId="3" fontId="189" fillId="0" borderId="14" xfId="0" applyNumberFormat="1" applyFont="1" applyFill="1" applyBorder="1" applyAlignment="1">
      <alignment horizontal="center" vertical="center" wrapText="1"/>
    </xf>
    <xf numFmtId="3" fontId="189" fillId="0" borderId="14" xfId="0" applyNumberFormat="1" applyFont="1" applyFill="1" applyBorder="1" applyAlignment="1">
      <alignment vertical="center"/>
    </xf>
    <xf numFmtId="3" fontId="189" fillId="0" borderId="14" xfId="0" applyNumberFormat="1" applyFont="1" applyFill="1" applyBorder="1" applyAlignment="1">
      <alignment horizontal="right" vertical="center"/>
    </xf>
    <xf numFmtId="0" fontId="189" fillId="0" borderId="25" xfId="0" applyFont="1" applyFill="1" applyBorder="1" applyAlignment="1">
      <alignment vertical="center" wrapText="1"/>
    </xf>
    <xf numFmtId="0" fontId="189" fillId="0" borderId="0" xfId="0" applyFont="1" applyFill="1"/>
    <xf numFmtId="0" fontId="187" fillId="0" borderId="14" xfId="0" applyFont="1" applyFill="1" applyBorder="1" applyAlignment="1">
      <alignment horizontal="center" vertical="center" wrapText="1"/>
    </xf>
    <xf numFmtId="0" fontId="187" fillId="0" borderId="14" xfId="0" applyFont="1" applyFill="1" applyBorder="1" applyAlignment="1">
      <alignment vertical="center" wrapText="1"/>
    </xf>
    <xf numFmtId="174" fontId="187" fillId="0" borderId="14" xfId="0" applyNumberFormat="1" applyFont="1" applyFill="1" applyBorder="1" applyAlignment="1">
      <alignment horizontal="center" vertical="center" wrapText="1"/>
    </xf>
    <xf numFmtId="3" fontId="187" fillId="0" borderId="14" xfId="0" applyNumberFormat="1" applyFont="1" applyFill="1" applyBorder="1" applyAlignment="1">
      <alignment vertical="center"/>
    </xf>
    <xf numFmtId="3" fontId="187" fillId="0" borderId="14" xfId="0" applyNumberFormat="1" applyFont="1" applyFill="1" applyBorder="1" applyAlignment="1">
      <alignment horizontal="right" vertical="center"/>
    </xf>
    <xf numFmtId="3" fontId="187" fillId="0" borderId="15" xfId="0" applyNumberFormat="1" applyFont="1" applyFill="1" applyBorder="1" applyAlignment="1">
      <alignment vertical="center" wrapText="1"/>
    </xf>
    <xf numFmtId="3" fontId="190" fillId="0" borderId="14" xfId="0" applyNumberFormat="1" applyFont="1" applyFill="1" applyBorder="1" applyAlignment="1">
      <alignment vertical="center"/>
    </xf>
    <xf numFmtId="0" fontId="187" fillId="0" borderId="25" xfId="0" applyFont="1" applyFill="1" applyBorder="1" applyAlignment="1">
      <alignment vertical="center" wrapText="1"/>
    </xf>
    <xf numFmtId="3" fontId="191" fillId="0" borderId="14" xfId="0" applyNumberFormat="1" applyFont="1" applyFill="1" applyBorder="1" applyAlignment="1">
      <alignment vertical="center"/>
    </xf>
    <xf numFmtId="166" fontId="187" fillId="0" borderId="14" xfId="77" applyNumberFormat="1" applyFont="1" applyFill="1" applyBorder="1" applyAlignment="1">
      <alignment vertical="center" wrapText="1"/>
    </xf>
    <xf numFmtId="43" fontId="187" fillId="0" borderId="0" xfId="77" applyFont="1" applyFill="1"/>
    <xf numFmtId="0" fontId="187" fillId="0" borderId="14" xfId="0" applyFont="1" applyFill="1" applyBorder="1" applyAlignment="1">
      <alignment horizontal="center" vertical="center"/>
    </xf>
    <xf numFmtId="43" fontId="187" fillId="0" borderId="0" xfId="0" applyNumberFormat="1" applyFont="1" applyFill="1"/>
    <xf numFmtId="0" fontId="189" fillId="0" borderId="14" xfId="0" applyFont="1" applyFill="1" applyBorder="1" applyAlignment="1">
      <alignment horizontal="center" vertical="center"/>
    </xf>
    <xf numFmtId="3" fontId="189" fillId="0" borderId="14" xfId="0" applyNumberFormat="1" applyFont="1" applyFill="1" applyBorder="1"/>
    <xf numFmtId="166" fontId="189" fillId="0" borderId="14" xfId="77" applyNumberFormat="1" applyFont="1" applyFill="1" applyBorder="1" applyAlignment="1">
      <alignment vertical="center" wrapText="1"/>
    </xf>
    <xf numFmtId="3" fontId="187" fillId="0" borderId="14" xfId="0" applyNumberFormat="1" applyFont="1" applyFill="1" applyBorder="1"/>
    <xf numFmtId="3" fontId="194" fillId="0" borderId="14" xfId="0" applyNumberFormat="1" applyFont="1" applyFill="1" applyBorder="1" applyAlignment="1">
      <alignment vertical="center"/>
    </xf>
    <xf numFmtId="3" fontId="108" fillId="0" borderId="0" xfId="0" applyNumberFormat="1" applyFont="1" applyFill="1"/>
    <xf numFmtId="175" fontId="187" fillId="0" borderId="14" xfId="0" applyNumberFormat="1" applyFont="1" applyFill="1" applyBorder="1" applyAlignment="1">
      <alignment vertical="center" wrapText="1"/>
    </xf>
    <xf numFmtId="0" fontId="187" fillId="0" borderId="14" xfId="0" applyFont="1" applyFill="1" applyBorder="1" applyAlignment="1">
      <alignment horizontal="left" vertical="center" wrapText="1"/>
    </xf>
    <xf numFmtId="0" fontId="192" fillId="0" borderId="14" xfId="0" applyFont="1" applyFill="1" applyBorder="1" applyAlignment="1">
      <alignment horizontal="center" vertical="center" wrapText="1"/>
    </xf>
    <xf numFmtId="3" fontId="187" fillId="0" borderId="14" xfId="0" applyNumberFormat="1" applyFont="1" applyFill="1" applyBorder="1" applyAlignment="1">
      <alignment horizontal="center" vertical="center"/>
    </xf>
    <xf numFmtId="0" fontId="192" fillId="0" borderId="0" xfId="0" applyFont="1" applyFill="1"/>
    <xf numFmtId="174" fontId="189" fillId="0" borderId="14" xfId="0" applyNumberFormat="1" applyFont="1" applyFill="1" applyBorder="1" applyAlignment="1">
      <alignment horizontal="center" vertical="center"/>
    </xf>
    <xf numFmtId="174" fontId="181" fillId="0" borderId="14" xfId="0" applyNumberFormat="1" applyFont="1" applyFill="1" applyBorder="1" applyAlignment="1">
      <alignment horizontal="center" vertical="center"/>
    </xf>
    <xf numFmtId="174" fontId="187" fillId="0" borderId="0" xfId="0" applyNumberFormat="1" applyFont="1" applyFill="1"/>
    <xf numFmtId="3" fontId="187" fillId="0" borderId="0" xfId="0" applyNumberFormat="1" applyFont="1" applyFill="1" applyAlignment="1">
      <alignment horizontal="left"/>
    </xf>
    <xf numFmtId="0" fontId="187" fillId="0" borderId="0" xfId="0" applyFont="1" applyFill="1" applyAlignment="1">
      <alignment wrapText="1"/>
    </xf>
    <xf numFmtId="166" fontId="189" fillId="0" borderId="0" xfId="77" applyNumberFormat="1" applyFont="1" applyFill="1" applyAlignment="1"/>
    <xf numFmtId="166" fontId="187" fillId="0" borderId="0" xfId="77" applyNumberFormat="1" applyFont="1" applyFill="1" applyAlignment="1"/>
    <xf numFmtId="166" fontId="187" fillId="0" borderId="0" xfId="0" applyNumberFormat="1" applyFont="1" applyFill="1"/>
    <xf numFmtId="3" fontId="189" fillId="0" borderId="0" xfId="0" applyNumberFormat="1" applyFont="1" applyFill="1" applyAlignment="1">
      <alignment horizontal="left"/>
    </xf>
    <xf numFmtId="0" fontId="189" fillId="0" borderId="0" xfId="0" applyFont="1" applyFill="1" applyAlignment="1">
      <alignment wrapText="1"/>
    </xf>
    <xf numFmtId="3" fontId="189" fillId="0" borderId="0" xfId="0" applyNumberFormat="1" applyFont="1" applyFill="1" applyAlignment="1"/>
    <xf numFmtId="9" fontId="187" fillId="0" borderId="0" xfId="166" applyFont="1" applyFill="1"/>
    <xf numFmtId="166" fontId="111" fillId="0" borderId="14" xfId="79" applyNumberFormat="1" applyFont="1" applyFill="1" applyBorder="1" applyAlignment="1">
      <alignment horizontal="center" vertical="center" wrapText="1"/>
    </xf>
    <xf numFmtId="185" fontId="111" fillId="0" borderId="14" xfId="79" applyNumberFormat="1" applyFont="1" applyFill="1" applyBorder="1" applyAlignment="1">
      <alignment horizontal="center" vertical="center" wrapText="1"/>
    </xf>
    <xf numFmtId="185" fontId="30" fillId="0" borderId="14" xfId="79" applyNumberFormat="1" applyFont="1" applyFill="1" applyBorder="1" applyAlignment="1">
      <alignment horizontal="right" vertical="center" wrapText="1"/>
    </xf>
    <xf numFmtId="185" fontId="28" fillId="0" borderId="14" xfId="79" applyNumberFormat="1" applyFont="1" applyFill="1" applyBorder="1" applyAlignment="1">
      <alignment horizontal="right" vertical="center" wrapText="1"/>
    </xf>
    <xf numFmtId="4" fontId="111" fillId="0" borderId="14" xfId="153" applyNumberFormat="1" applyFont="1" applyFill="1" applyBorder="1" applyAlignment="1">
      <alignment horizontal="right" vertical="center" wrapText="1"/>
    </xf>
    <xf numFmtId="184" fontId="28" fillId="0" borderId="14" xfId="79" applyNumberFormat="1" applyFont="1" applyFill="1" applyBorder="1" applyAlignment="1">
      <alignment horizontal="right" vertical="center" wrapText="1"/>
    </xf>
    <xf numFmtId="166" fontId="28" fillId="0" borderId="14" xfId="79" applyNumberFormat="1" applyFont="1" applyFill="1" applyBorder="1" applyAlignment="1">
      <alignment horizontal="left" vertical="center" wrapText="1"/>
    </xf>
    <xf numFmtId="0" fontId="32" fillId="0" borderId="14" xfId="153" applyFont="1" applyFill="1" applyBorder="1" applyAlignment="1">
      <alignment horizontal="center" vertical="center" wrapText="1"/>
    </xf>
    <xf numFmtId="0" fontId="32" fillId="0" borderId="14" xfId="153" applyFont="1" applyFill="1" applyBorder="1" applyAlignment="1">
      <alignment horizontal="left" vertical="center" wrapText="1"/>
    </xf>
    <xf numFmtId="166" fontId="108" fillId="0" borderId="14" xfId="79" applyNumberFormat="1" applyFont="1" applyFill="1" applyBorder="1" applyAlignment="1">
      <alignment horizontal="center" vertical="center" wrapText="1"/>
    </xf>
    <xf numFmtId="184" fontId="28" fillId="0" borderId="14" xfId="153" applyNumberFormat="1" applyFont="1" applyFill="1" applyBorder="1" applyAlignment="1">
      <alignment horizontal="right" vertical="center" wrapText="1"/>
    </xf>
    <xf numFmtId="184" fontId="108" fillId="0" borderId="14" xfId="79" applyNumberFormat="1" applyFont="1" applyFill="1" applyBorder="1" applyAlignment="1">
      <alignment horizontal="right" vertical="center" wrapText="1"/>
    </xf>
    <xf numFmtId="166" fontId="108" fillId="0" borderId="14" xfId="77" applyNumberFormat="1" applyFont="1" applyFill="1" applyBorder="1" applyAlignment="1">
      <alignment horizontal="center" vertical="center" wrapText="1"/>
    </xf>
    <xf numFmtId="166" fontId="28" fillId="0" borderId="14" xfId="77" applyNumberFormat="1" applyFont="1" applyFill="1" applyBorder="1" applyAlignment="1">
      <alignment horizontal="right" vertical="center" wrapText="1"/>
    </xf>
    <xf numFmtId="4" fontId="111" fillId="0" borderId="14" xfId="153" applyNumberFormat="1" applyFont="1" applyFill="1" applyBorder="1" applyAlignment="1">
      <alignment horizontal="right" vertical="center"/>
    </xf>
    <xf numFmtId="184" fontId="28" fillId="0" borderId="14" xfId="77" applyNumberFormat="1" applyFont="1" applyFill="1" applyBorder="1" applyAlignment="1">
      <alignment horizontal="right" vertical="center" wrapText="1"/>
    </xf>
    <xf numFmtId="206" fontId="28" fillId="0" borderId="14" xfId="153" applyNumberFormat="1" applyFont="1" applyFill="1" applyBorder="1" applyAlignment="1">
      <alignment horizontal="right" vertical="center" wrapText="1"/>
    </xf>
    <xf numFmtId="0" fontId="28" fillId="0" borderId="14" xfId="153" quotePrefix="1" applyFont="1" applyFill="1" applyBorder="1" applyAlignment="1">
      <alignment horizontal="center" vertical="center" wrapText="1"/>
    </xf>
    <xf numFmtId="0" fontId="37" fillId="0" borderId="0" xfId="0" applyFont="1" applyFill="1" applyAlignment="1">
      <alignment vertical="center"/>
    </xf>
    <xf numFmtId="206" fontId="38" fillId="0" borderId="0" xfId="0" applyNumberFormat="1" applyFont="1" applyFill="1" applyAlignment="1">
      <alignment vertical="center"/>
    </xf>
    <xf numFmtId="0" fontId="30" fillId="0" borderId="14" xfId="0" applyFont="1" applyFill="1" applyBorder="1" applyAlignment="1">
      <alignment horizontal="left" vertical="center" wrapText="1"/>
    </xf>
    <xf numFmtId="204" fontId="38" fillId="0" borderId="0" xfId="0" applyNumberFormat="1" applyFont="1" applyFill="1" applyAlignment="1">
      <alignment vertical="center"/>
    </xf>
    <xf numFmtId="0" fontId="32" fillId="0" borderId="14" xfId="0" applyFont="1" applyFill="1" applyBorder="1" applyAlignment="1">
      <alignment horizontal="right" vertical="center"/>
    </xf>
    <xf numFmtId="0" fontId="97" fillId="0" borderId="14" xfId="0" applyFont="1" applyFill="1" applyBorder="1" applyAlignment="1">
      <alignment horizontal="center" vertical="center"/>
    </xf>
    <xf numFmtId="184" fontId="97" fillId="0" borderId="14" xfId="77" applyNumberFormat="1" applyFont="1" applyFill="1" applyBorder="1" applyAlignment="1">
      <alignment vertical="center"/>
    </xf>
    <xf numFmtId="43" fontId="97" fillId="0" borderId="14" xfId="77" applyNumberFormat="1" applyFont="1" applyFill="1" applyBorder="1" applyAlignment="1">
      <alignment vertical="center"/>
    </xf>
    <xf numFmtId="0" fontId="28" fillId="0" borderId="14" xfId="0" quotePrefix="1" applyFont="1" applyFill="1" applyBorder="1" applyAlignment="1">
      <alignment horizontal="right" vertical="center"/>
    </xf>
    <xf numFmtId="208" fontId="38" fillId="0" borderId="0" xfId="0" applyNumberFormat="1" applyFont="1" applyFill="1" applyAlignment="1">
      <alignment vertical="center"/>
    </xf>
    <xf numFmtId="166" fontId="30" fillId="0" borderId="28" xfId="77" applyNumberFormat="1" applyFont="1" applyFill="1" applyBorder="1" applyAlignment="1">
      <alignment horizontal="center" vertical="center" wrapText="1"/>
    </xf>
    <xf numFmtId="174" fontId="30" fillId="0" borderId="28" xfId="0" applyNumberFormat="1" applyFont="1" applyFill="1" applyBorder="1" applyAlignment="1">
      <alignment horizontal="center" vertical="center" wrapText="1"/>
    </xf>
    <xf numFmtId="4" fontId="30" fillId="0" borderId="25" xfId="0" applyNumberFormat="1" applyFont="1" applyFill="1" applyBorder="1" applyAlignment="1">
      <alignment horizontal="right" vertical="center" wrapText="1"/>
    </xf>
    <xf numFmtId="4" fontId="28" fillId="0" borderId="32" xfId="0" applyNumberFormat="1" applyFont="1" applyFill="1" applyBorder="1" applyAlignment="1">
      <alignment horizontal="right" vertical="center"/>
    </xf>
    <xf numFmtId="4" fontId="35" fillId="0" borderId="38" xfId="0" applyNumberFormat="1" applyFont="1" applyFill="1" applyBorder="1" applyAlignment="1">
      <alignment horizontal="right" vertical="center"/>
    </xf>
    <xf numFmtId="165" fontId="28" fillId="0" borderId="14" xfId="77" applyNumberFormat="1" applyFont="1" applyFill="1" applyBorder="1" applyAlignment="1">
      <alignment vertical="center"/>
    </xf>
    <xf numFmtId="167" fontId="34" fillId="0" borderId="0" xfId="0" applyNumberFormat="1" applyFont="1" applyFill="1" applyAlignment="1">
      <alignment vertical="center"/>
    </xf>
    <xf numFmtId="174" fontId="89" fillId="0" borderId="0" xfId="0" applyNumberFormat="1" applyFont="1" applyFill="1" applyAlignment="1">
      <alignment vertical="center"/>
    </xf>
    <xf numFmtId="165" fontId="30" fillId="0" borderId="14" xfId="77" applyNumberFormat="1" applyFont="1" applyFill="1" applyBorder="1" applyAlignment="1">
      <alignment vertical="center"/>
    </xf>
    <xf numFmtId="0" fontId="28" fillId="0" borderId="14" xfId="0" quotePrefix="1" applyFont="1" applyFill="1" applyBorder="1" applyAlignment="1">
      <alignment horizontal="center" vertical="center"/>
    </xf>
    <xf numFmtId="167" fontId="34" fillId="0" borderId="0" xfId="0" applyNumberFormat="1" applyFont="1" applyFill="1" applyAlignment="1">
      <alignment horizontal="center" vertical="center"/>
    </xf>
    <xf numFmtId="166" fontId="34" fillId="0" borderId="0" xfId="0" applyNumberFormat="1" applyFont="1" applyFill="1" applyAlignment="1">
      <alignment vertical="center"/>
    </xf>
    <xf numFmtId="0" fontId="196" fillId="0" borderId="0" xfId="0" applyFont="1" applyFill="1" applyAlignment="1">
      <alignment vertical="center"/>
    </xf>
    <xf numFmtId="0" fontId="195" fillId="0" borderId="0" xfId="0" applyFont="1" applyFill="1" applyAlignment="1">
      <alignment vertical="center" wrapText="1"/>
    </xf>
    <xf numFmtId="173" fontId="28" fillId="0" borderId="14" xfId="0" applyNumberFormat="1" applyFont="1" applyFill="1" applyBorder="1" applyAlignment="1">
      <alignment horizontal="center" vertical="top" wrapText="1"/>
    </xf>
    <xf numFmtId="184" fontId="34" fillId="0" borderId="0" xfId="78" applyNumberFormat="1" applyFont="1" applyFill="1" applyAlignment="1">
      <alignment vertical="center"/>
    </xf>
    <xf numFmtId="184" fontId="28" fillId="0" borderId="0" xfId="78" applyNumberFormat="1" applyFont="1" applyFill="1" applyAlignment="1">
      <alignment vertical="center"/>
    </xf>
    <xf numFmtId="0" fontId="36" fillId="0" borderId="0" xfId="0" applyFont="1" applyFill="1" applyAlignment="1">
      <alignment vertical="center"/>
    </xf>
    <xf numFmtId="174" fontId="30" fillId="0" borderId="14" xfId="0" applyNumberFormat="1" applyFont="1" applyFill="1" applyBorder="1" applyAlignment="1">
      <alignment horizontal="right" vertical="center"/>
    </xf>
    <xf numFmtId="175" fontId="28" fillId="0" borderId="14" xfId="0" applyNumberFormat="1" applyFont="1" applyFill="1" applyBorder="1" applyAlignment="1">
      <alignment horizontal="right" vertical="center" wrapText="1"/>
    </xf>
    <xf numFmtId="0" fontId="97" fillId="0" borderId="0" xfId="0" applyFont="1" applyFill="1" applyAlignment="1">
      <alignment vertical="center"/>
    </xf>
    <xf numFmtId="184" fontId="30" fillId="0" borderId="14" xfId="77" applyNumberFormat="1" applyFont="1" applyFill="1" applyBorder="1" applyAlignment="1">
      <alignment vertical="center" wrapText="1"/>
    </xf>
    <xf numFmtId="184" fontId="28" fillId="0" borderId="14" xfId="77" applyNumberFormat="1" applyFont="1" applyFill="1" applyBorder="1" applyAlignment="1">
      <alignment vertical="center" wrapText="1"/>
    </xf>
    <xf numFmtId="43" fontId="30" fillId="0" borderId="14" xfId="77" applyFont="1" applyFill="1" applyBorder="1" applyAlignment="1">
      <alignment vertical="center" wrapText="1"/>
    </xf>
    <xf numFmtId="167" fontId="28" fillId="0" borderId="14" xfId="0" applyNumberFormat="1" applyFont="1" applyFill="1" applyBorder="1" applyAlignment="1">
      <alignment vertical="center" wrapText="1"/>
    </xf>
    <xf numFmtId="202" fontId="28" fillId="0" borderId="14" xfId="0" applyNumberFormat="1" applyFont="1" applyFill="1" applyBorder="1" applyAlignment="1">
      <alignment vertical="center" wrapText="1"/>
    </xf>
    <xf numFmtId="2" fontId="28" fillId="0" borderId="14" xfId="0" applyNumberFormat="1" applyFont="1" applyFill="1" applyBorder="1" applyAlignment="1">
      <alignment vertical="center" wrapText="1"/>
    </xf>
    <xf numFmtId="165" fontId="28" fillId="0" borderId="14" xfId="77" applyNumberFormat="1" applyFont="1" applyFill="1" applyBorder="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3" fontId="34" fillId="0" borderId="0" xfId="153" applyNumberFormat="1" applyFont="1" applyFill="1" applyAlignment="1">
      <alignment vertical="center"/>
    </xf>
    <xf numFmtId="3" fontId="28" fillId="30" borderId="0" xfId="206" applyNumberFormat="1" applyFont="1" applyFill="1" applyAlignment="1">
      <alignment vertical="center"/>
    </xf>
    <xf numFmtId="4" fontId="36" fillId="0" borderId="0" xfId="153" applyNumberFormat="1" applyFont="1" applyAlignment="1">
      <alignment horizontal="center" vertical="center" wrapText="1"/>
    </xf>
    <xf numFmtId="3" fontId="108" fillId="30" borderId="0" xfId="206" applyNumberFormat="1" applyFont="1" applyFill="1" applyAlignment="1">
      <alignment vertical="center"/>
    </xf>
    <xf numFmtId="43" fontId="38" fillId="0" borderId="0" xfId="0" applyNumberFormat="1" applyFont="1" applyFill="1" applyAlignment="1">
      <alignment vertical="center"/>
    </xf>
    <xf numFmtId="0" fontId="97" fillId="0" borderId="14" xfId="0" applyFont="1" applyFill="1" applyBorder="1" applyAlignment="1">
      <alignment horizontal="justify" vertical="center" wrapText="1"/>
    </xf>
    <xf numFmtId="0" fontId="97" fillId="0" borderId="14" xfId="0" applyFont="1" applyFill="1" applyBorder="1" applyAlignment="1">
      <alignment horizontal="center" wrapText="1"/>
    </xf>
    <xf numFmtId="166" fontId="97" fillId="0" borderId="14" xfId="78" applyNumberFormat="1" applyFont="1" applyFill="1" applyBorder="1" applyAlignment="1">
      <alignment horizontal="right" vertical="center"/>
    </xf>
    <xf numFmtId="173" fontId="97" fillId="0" borderId="14" xfId="0" applyNumberFormat="1" applyFont="1" applyFill="1" applyBorder="1" applyAlignment="1">
      <alignment horizontal="center" vertical="top" wrapText="1"/>
    </xf>
    <xf numFmtId="0" fontId="205" fillId="0" borderId="0" xfId="0" applyFont="1" applyFill="1" applyAlignment="1">
      <alignment vertical="center"/>
    </xf>
    <xf numFmtId="3" fontId="34" fillId="0" borderId="0" xfId="153" applyNumberFormat="1" applyFont="1" applyAlignment="1">
      <alignment vertical="center"/>
    </xf>
    <xf numFmtId="3" fontId="30" fillId="30" borderId="0" xfId="206" applyNumberFormat="1" applyFont="1" applyFill="1" applyAlignment="1">
      <alignment vertical="center"/>
    </xf>
    <xf numFmtId="43" fontId="28" fillId="0" borderId="0" xfId="0" applyNumberFormat="1" applyFont="1" applyFill="1" applyAlignment="1">
      <alignment vertical="center"/>
    </xf>
    <xf numFmtId="3" fontId="36" fillId="0" borderId="0" xfId="153" applyNumberFormat="1" applyFont="1" applyAlignment="1">
      <alignment horizontal="center" vertical="center" wrapText="1"/>
    </xf>
    <xf numFmtId="184" fontId="97" fillId="0" borderId="14" xfId="77" applyNumberFormat="1" applyFont="1" applyFill="1" applyBorder="1" applyAlignment="1">
      <alignment horizontal="center" vertical="center" wrapText="1"/>
    </xf>
    <xf numFmtId="166" fontId="97" fillId="0" borderId="14" xfId="77" applyNumberFormat="1" applyFont="1" applyFill="1" applyBorder="1" applyAlignment="1">
      <alignment horizontal="center" vertical="center" wrapText="1"/>
    </xf>
    <xf numFmtId="43" fontId="97" fillId="0" borderId="14" xfId="77" applyNumberFormat="1" applyFont="1" applyFill="1" applyBorder="1" applyAlignment="1">
      <alignment horizontal="center" vertical="center" wrapText="1"/>
    </xf>
    <xf numFmtId="174" fontId="97" fillId="0" borderId="14" xfId="0" applyNumberFormat="1" applyFont="1" applyFill="1" applyBorder="1" applyAlignment="1">
      <alignment horizontal="center" vertical="top" wrapText="1"/>
    </xf>
    <xf numFmtId="0" fontId="205" fillId="0" borderId="0" xfId="0" applyFont="1" applyAlignment="1">
      <alignment vertical="center"/>
    </xf>
    <xf numFmtId="212" fontId="28" fillId="0" borderId="14" xfId="78" applyNumberFormat="1" applyFont="1" applyFill="1" applyBorder="1" applyAlignment="1">
      <alignment horizontal="right" vertical="center"/>
    </xf>
    <xf numFmtId="212" fontId="97" fillId="0" borderId="14" xfId="78" applyNumberFormat="1" applyFont="1" applyFill="1" applyBorder="1" applyAlignment="1">
      <alignment horizontal="right" vertical="center"/>
    </xf>
    <xf numFmtId="0" fontId="111" fillId="0" borderId="14" xfId="206" applyFont="1" applyFill="1" applyBorder="1" applyAlignment="1">
      <alignment horizontal="center" vertical="center" wrapText="1"/>
    </xf>
    <xf numFmtId="0" fontId="35" fillId="0" borderId="14" xfId="78" applyNumberFormat="1" applyFont="1" applyFill="1" applyBorder="1" applyAlignment="1">
      <alignment horizontal="right" vertical="center"/>
    </xf>
    <xf numFmtId="0" fontId="28" fillId="0" borderId="52" xfId="0" applyFont="1" applyFill="1" applyBorder="1" applyAlignment="1">
      <alignment horizontal="center"/>
    </xf>
    <xf numFmtId="2" fontId="28" fillId="0" borderId="52" xfId="0" applyNumberFormat="1" applyFont="1" applyFill="1" applyBorder="1" applyAlignment="1">
      <alignment horizontal="center"/>
    </xf>
    <xf numFmtId="166" fontId="28" fillId="0" borderId="32" xfId="0" applyNumberFormat="1" applyFont="1" applyFill="1" applyBorder="1" applyAlignment="1">
      <alignment horizontal="right"/>
    </xf>
    <xf numFmtId="43" fontId="28" fillId="0" borderId="32" xfId="77" applyNumberFormat="1" applyFont="1" applyFill="1" applyBorder="1" applyAlignment="1">
      <alignment horizontal="right"/>
    </xf>
    <xf numFmtId="0" fontId="203" fillId="0" borderId="28" xfId="0" applyFont="1" applyFill="1" applyBorder="1" applyAlignment="1">
      <alignment horizontal="left"/>
    </xf>
    <xf numFmtId="0" fontId="97" fillId="0" borderId="28" xfId="0" applyFont="1" applyFill="1" applyBorder="1" applyAlignment="1">
      <alignment horizontal="center"/>
    </xf>
    <xf numFmtId="2" fontId="97" fillId="0" borderId="28" xfId="0" applyNumberFormat="1" applyFont="1" applyFill="1" applyBorder="1" applyAlignment="1">
      <alignment horizontal="center"/>
    </xf>
    <xf numFmtId="166" fontId="97" fillId="0" borderId="28" xfId="0" applyNumberFormat="1" applyFont="1" applyFill="1" applyBorder="1" applyAlignment="1">
      <alignment horizontal="right"/>
    </xf>
    <xf numFmtId="166" fontId="97" fillId="0" borderId="28" xfId="77" applyNumberFormat="1" applyFont="1" applyFill="1" applyBorder="1" applyAlignment="1">
      <alignment horizontal="right"/>
    </xf>
    <xf numFmtId="0" fontId="203" fillId="0" borderId="32" xfId="0" applyFont="1" applyFill="1" applyBorder="1" applyAlignment="1">
      <alignment horizontal="left"/>
    </xf>
    <xf numFmtId="0" fontId="97" fillId="0" borderId="23" xfId="0" applyFont="1" applyFill="1" applyBorder="1" applyAlignment="1">
      <alignment horizontal="center"/>
    </xf>
    <xf numFmtId="0" fontId="97" fillId="0" borderId="38" xfId="0" applyFont="1" applyFill="1" applyBorder="1" applyAlignment="1">
      <alignment horizontal="center"/>
    </xf>
    <xf numFmtId="166" fontId="97" fillId="0" borderId="38" xfId="0" applyNumberFormat="1" applyFont="1" applyFill="1" applyBorder="1" applyAlignment="1">
      <alignment horizontal="right"/>
    </xf>
    <xf numFmtId="166" fontId="97" fillId="0" borderId="38" xfId="77" applyNumberFormat="1" applyFont="1" applyFill="1" applyBorder="1" applyAlignment="1">
      <alignment horizontal="right"/>
    </xf>
    <xf numFmtId="43" fontId="97" fillId="0" borderId="38" xfId="77" applyNumberFormat="1" applyFont="1" applyFill="1" applyBorder="1" applyAlignment="1">
      <alignment horizontal="right"/>
    </xf>
    <xf numFmtId="0" fontId="29" fillId="0" borderId="28" xfId="0" applyFont="1" applyFill="1" applyBorder="1" applyAlignment="1">
      <alignment horizontal="left"/>
    </xf>
    <xf numFmtId="0" fontId="29" fillId="0" borderId="32" xfId="0" applyFont="1" applyFill="1" applyBorder="1" applyAlignment="1">
      <alignment horizontal="left"/>
    </xf>
    <xf numFmtId="0" fontId="28" fillId="0" borderId="0" xfId="0" applyFont="1" applyFill="1" applyBorder="1" applyAlignment="1">
      <alignment horizontal="center"/>
    </xf>
    <xf numFmtId="0" fontId="28" fillId="0" borderId="32" xfId="0" applyFont="1" applyFill="1" applyBorder="1" applyAlignment="1">
      <alignment horizontal="center"/>
    </xf>
    <xf numFmtId="166" fontId="30" fillId="0" borderId="52" xfId="77" applyNumberFormat="1" applyFont="1" applyFill="1" applyBorder="1" applyAlignment="1">
      <alignment horizontal="right"/>
    </xf>
    <xf numFmtId="0" fontId="30" fillId="0" borderId="14" xfId="0" applyFont="1" applyFill="1" applyBorder="1" applyAlignment="1">
      <alignment horizontal="center"/>
    </xf>
    <xf numFmtId="166" fontId="28" fillId="0" borderId="14" xfId="0" applyNumberFormat="1" applyFont="1" applyFill="1" applyBorder="1" applyAlignment="1">
      <alignment horizontal="right"/>
    </xf>
    <xf numFmtId="166" fontId="28" fillId="0" borderId="14" xfId="77" applyNumberFormat="1" applyFont="1" applyFill="1" applyBorder="1" applyAlignment="1">
      <alignment horizontal="right"/>
    </xf>
    <xf numFmtId="0" fontId="28" fillId="0" borderId="25" xfId="0" applyFont="1" applyFill="1" applyBorder="1" applyAlignment="1">
      <alignment horizontal="center" vertical="center" wrapText="1"/>
    </xf>
    <xf numFmtId="4" fontId="28" fillId="0" borderId="14" xfId="153" applyNumberFormat="1" applyFont="1" applyBorder="1" applyAlignment="1">
      <alignment vertical="center"/>
    </xf>
    <xf numFmtId="3" fontId="30" fillId="0" borderId="14" xfId="153" applyNumberFormat="1" applyFont="1" applyFill="1" applyBorder="1" applyAlignment="1">
      <alignment vertical="center" wrapText="1"/>
    </xf>
    <xf numFmtId="3" fontId="28" fillId="0" borderId="14" xfId="153" applyNumberFormat="1" applyFont="1" applyBorder="1" applyAlignment="1">
      <alignment vertical="center"/>
    </xf>
    <xf numFmtId="0" fontId="187" fillId="0" borderId="0" xfId="0" applyFont="1" applyFill="1" applyBorder="1" applyAlignment="1">
      <alignment horizontal="center" vertical="center"/>
    </xf>
    <xf numFmtId="0" fontId="187" fillId="0" borderId="0" xfId="0" applyFont="1" applyFill="1" applyBorder="1" applyAlignment="1">
      <alignment vertical="center" wrapText="1"/>
    </xf>
    <xf numFmtId="0" fontId="187" fillId="0" borderId="0" xfId="0" applyFont="1" applyFill="1" applyBorder="1" applyAlignment="1">
      <alignment horizontal="center" vertical="center" wrapText="1"/>
    </xf>
    <xf numFmtId="174" fontId="187" fillId="0" borderId="0" xfId="0" applyNumberFormat="1" applyFont="1" applyFill="1" applyBorder="1" applyAlignment="1">
      <alignment horizontal="center" vertical="center" wrapText="1"/>
    </xf>
    <xf numFmtId="3" fontId="187" fillId="0" borderId="0" xfId="0" applyNumberFormat="1" applyFont="1" applyFill="1" applyBorder="1" applyAlignment="1">
      <alignment vertical="center"/>
    </xf>
    <xf numFmtId="3" fontId="187" fillId="0" borderId="0" xfId="0" applyNumberFormat="1" applyFont="1" applyFill="1" applyBorder="1" applyAlignment="1">
      <alignment horizontal="right" vertical="center"/>
    </xf>
    <xf numFmtId="3" fontId="187" fillId="0" borderId="0" xfId="0" applyNumberFormat="1" applyFont="1" applyFill="1" applyBorder="1" applyAlignment="1">
      <alignment vertical="center" wrapText="1"/>
    </xf>
    <xf numFmtId="3" fontId="190" fillId="0" borderId="0" xfId="0" applyNumberFormat="1" applyFont="1" applyFill="1" applyBorder="1" applyAlignment="1">
      <alignment vertical="center"/>
    </xf>
    <xf numFmtId="43" fontId="36" fillId="0" borderId="0" xfId="153" applyNumberFormat="1" applyFont="1" applyAlignment="1">
      <alignment horizontal="center" vertical="center" wrapText="1"/>
    </xf>
    <xf numFmtId="213" fontId="34" fillId="0" borderId="0" xfId="153" applyNumberFormat="1" applyFont="1" applyAlignment="1">
      <alignment vertical="center"/>
    </xf>
    <xf numFmtId="3" fontId="97" fillId="0" borderId="14" xfId="0" applyNumberFormat="1" applyFont="1" applyFill="1" applyBorder="1" applyAlignment="1">
      <alignment horizontal="center" vertical="center"/>
    </xf>
    <xf numFmtId="0" fontId="30" fillId="0" borderId="60" xfId="0" applyFont="1" applyFill="1" applyBorder="1" applyAlignment="1">
      <alignment horizontal="center"/>
    </xf>
    <xf numFmtId="0" fontId="30" fillId="0" borderId="54" xfId="0" applyFont="1" applyFill="1" applyBorder="1" applyAlignment="1">
      <alignment horizontal="center"/>
    </xf>
    <xf numFmtId="0" fontId="97" fillId="0" borderId="53" xfId="0" applyFont="1" applyFill="1" applyBorder="1" applyAlignment="1">
      <alignment horizontal="left"/>
    </xf>
    <xf numFmtId="0" fontId="97" fillId="0" borderId="59" xfId="0" applyFont="1" applyFill="1" applyBorder="1" applyAlignment="1">
      <alignment horizontal="left"/>
    </xf>
    <xf numFmtId="0" fontId="97" fillId="0" borderId="109" xfId="0" applyFont="1" applyFill="1" applyBorder="1" applyAlignment="1">
      <alignment horizontal="left"/>
    </xf>
    <xf numFmtId="0" fontId="97" fillId="0" borderId="66" xfId="0" applyFont="1" applyFill="1" applyBorder="1" applyAlignment="1">
      <alignment horizontal="left"/>
    </xf>
    <xf numFmtId="0" fontId="12" fillId="0" borderId="0" xfId="0" applyFont="1" applyAlignment="1">
      <alignment horizontal="center"/>
    </xf>
    <xf numFmtId="0" fontId="30" fillId="0" borderId="0" xfId="0" applyFont="1" applyFill="1" applyAlignment="1">
      <alignment horizontal="center"/>
    </xf>
    <xf numFmtId="0" fontId="30" fillId="0" borderId="0" xfId="0" applyFont="1" applyAlignment="1">
      <alignment horizontal="center" vertical="center"/>
    </xf>
    <xf numFmtId="0" fontId="30" fillId="0" borderId="0" xfId="0" applyFont="1" applyAlignment="1">
      <alignment horizontal="center"/>
    </xf>
    <xf numFmtId="0" fontId="102" fillId="0" borderId="68" xfId="0" applyFont="1" applyFill="1" applyBorder="1" applyAlignment="1">
      <alignment horizontal="center" wrapText="1"/>
    </xf>
    <xf numFmtId="0" fontId="102" fillId="0" borderId="68" xfId="0" applyFont="1" applyBorder="1" applyAlignment="1">
      <alignment horizontal="center" wrapText="1"/>
    </xf>
    <xf numFmtId="0" fontId="30" fillId="0" borderId="17"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0" xfId="153" applyFont="1" applyAlignment="1">
      <alignment horizontal="center" vertical="center"/>
    </xf>
    <xf numFmtId="0" fontId="30" fillId="0" borderId="15" xfId="0" applyFont="1" applyFill="1" applyBorder="1" applyAlignment="1">
      <alignment horizontal="center" vertical="center" wrapText="1"/>
    </xf>
    <xf numFmtId="0" fontId="187" fillId="0" borderId="47" xfId="0" applyFont="1" applyFill="1" applyBorder="1" applyAlignment="1">
      <alignment wrapText="1"/>
    </xf>
    <xf numFmtId="0" fontId="187" fillId="0" borderId="67" xfId="0" applyFont="1" applyFill="1" applyBorder="1" applyAlignment="1">
      <alignment wrapText="1"/>
    </xf>
    <xf numFmtId="0" fontId="187" fillId="0" borderId="15" xfId="0" applyFont="1" applyFill="1" applyBorder="1" applyAlignment="1">
      <alignment vertical="center" wrapText="1"/>
    </xf>
    <xf numFmtId="0" fontId="187" fillId="0" borderId="16" xfId="0" applyFont="1" applyFill="1" applyBorder="1" applyAlignment="1">
      <alignment vertical="center" wrapText="1"/>
    </xf>
    <xf numFmtId="0" fontId="186" fillId="0" borderId="0" xfId="0" applyFont="1" applyFill="1" applyBorder="1" applyAlignment="1">
      <alignment horizontal="center" vertical="center" wrapText="1"/>
    </xf>
    <xf numFmtId="0" fontId="186" fillId="0" borderId="68"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14" xfId="0" applyFont="1" applyFill="1" applyBorder="1" applyAlignment="1">
      <alignment horizontal="center" vertical="center" wrapText="1"/>
    </xf>
    <xf numFmtId="4" fontId="30" fillId="0" borderId="15" xfId="0" applyNumberFormat="1" applyFont="1" applyFill="1" applyBorder="1" applyAlignment="1">
      <alignment horizontal="center" vertical="center" wrapText="1"/>
    </xf>
    <xf numFmtId="4" fontId="30" fillId="0" borderId="25" xfId="0" applyNumberFormat="1" applyFont="1" applyFill="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vertical="center" wrapText="1"/>
    </xf>
    <xf numFmtId="0" fontId="111" fillId="0" borderId="14" xfId="206" applyFont="1" applyFill="1" applyBorder="1" applyAlignment="1">
      <alignment horizontal="center" vertical="center" wrapText="1"/>
    </xf>
    <xf numFmtId="3" fontId="111" fillId="0" borderId="14" xfId="206" applyNumberFormat="1" applyFont="1" applyFill="1" applyBorder="1" applyAlignment="1">
      <alignment horizontal="center" vertical="center" wrapText="1"/>
    </xf>
    <xf numFmtId="3" fontId="111" fillId="0" borderId="67" xfId="206" applyNumberFormat="1" applyFont="1" applyFill="1" applyBorder="1" applyAlignment="1">
      <alignment horizontal="center" vertical="center" wrapText="1"/>
    </xf>
    <xf numFmtId="3" fontId="111" fillId="0" borderId="75" xfId="206" applyNumberFormat="1" applyFont="1" applyFill="1" applyBorder="1" applyAlignment="1">
      <alignment horizontal="center" vertical="center" wrapText="1"/>
    </xf>
    <xf numFmtId="0" fontId="0" fillId="0" borderId="14" xfId="0" applyBorder="1" applyAlignment="1">
      <alignment horizontal="center" vertical="center" wrapText="1"/>
    </xf>
    <xf numFmtId="0" fontId="97" fillId="0" borderId="47" xfId="0" applyFont="1" applyFill="1" applyBorder="1" applyAlignment="1">
      <alignment horizontal="center" wrapText="1"/>
    </xf>
    <xf numFmtId="0" fontId="97" fillId="0" borderId="0" xfId="0" applyFont="1" applyFill="1" applyBorder="1" applyAlignment="1">
      <alignment horizontal="center" wrapText="1"/>
    </xf>
    <xf numFmtId="3" fontId="30" fillId="0" borderId="28" xfId="206" applyNumberFormat="1" applyFont="1" applyFill="1" applyBorder="1" applyAlignment="1">
      <alignment horizontal="center" vertical="center" wrapText="1"/>
    </xf>
    <xf numFmtId="3" fontId="30" fillId="0" borderId="23" xfId="206" applyNumberFormat="1" applyFont="1" applyFill="1" applyBorder="1" applyAlignment="1">
      <alignment horizontal="center" vertical="center" wrapText="1"/>
    </xf>
    <xf numFmtId="3" fontId="30" fillId="0" borderId="52" xfId="206" applyNumberFormat="1" applyFont="1" applyFill="1" applyBorder="1" applyAlignment="1">
      <alignment horizontal="center" vertical="center" wrapText="1"/>
    </xf>
    <xf numFmtId="0" fontId="12" fillId="0" borderId="0" xfId="206" applyFont="1" applyFill="1" applyAlignment="1">
      <alignment horizontal="center" vertical="center" wrapText="1"/>
    </xf>
    <xf numFmtId="3" fontId="30" fillId="0" borderId="54" xfId="206" applyNumberFormat="1" applyFont="1" applyFill="1" applyBorder="1" applyAlignment="1">
      <alignment horizontal="center" vertical="center" wrapText="1"/>
    </xf>
    <xf numFmtId="3" fontId="30" fillId="0" borderId="14" xfId="206" applyNumberFormat="1" applyFont="1" applyFill="1" applyBorder="1" applyAlignment="1">
      <alignment horizontal="center" vertical="center" wrapText="1"/>
    </xf>
    <xf numFmtId="0" fontId="30" fillId="0" borderId="69" xfId="206" applyFont="1" applyFill="1" applyBorder="1" applyAlignment="1">
      <alignment horizontal="left" vertical="center"/>
    </xf>
    <xf numFmtId="0" fontId="30" fillId="0" borderId="16" xfId="206" applyFont="1" applyFill="1" applyBorder="1" applyAlignment="1">
      <alignment horizontal="left" vertical="center"/>
    </xf>
    <xf numFmtId="0" fontId="30" fillId="0" borderId="47" xfId="206" applyFont="1" applyFill="1" applyBorder="1" applyAlignment="1">
      <alignment horizontal="left" vertical="center"/>
    </xf>
    <xf numFmtId="3" fontId="35" fillId="0" borderId="0" xfId="206" applyNumberFormat="1" applyFont="1" applyFill="1" applyBorder="1" applyAlignment="1">
      <alignment horizontal="center" vertical="center"/>
    </xf>
    <xf numFmtId="0" fontId="111" fillId="0" borderId="14" xfId="206" applyFont="1" applyFill="1" applyBorder="1" applyAlignment="1">
      <alignment horizontal="center" vertical="center"/>
    </xf>
    <xf numFmtId="3" fontId="111" fillId="0" borderId="28" xfId="206" applyNumberFormat="1" applyFont="1" applyFill="1" applyBorder="1" applyAlignment="1">
      <alignment horizontal="center" vertical="center" wrapText="1"/>
    </xf>
    <xf numFmtId="3" fontId="111" fillId="0" borderId="23" xfId="206" applyNumberFormat="1" applyFont="1" applyFill="1" applyBorder="1" applyAlignment="1">
      <alignment horizontal="center" vertical="center" wrapText="1"/>
    </xf>
    <xf numFmtId="3" fontId="111" fillId="0" borderId="38" xfId="206" applyNumberFormat="1" applyFont="1" applyFill="1" applyBorder="1" applyAlignment="1">
      <alignment horizontal="center" vertical="center" wrapText="1"/>
    </xf>
    <xf numFmtId="0" fontId="30" fillId="30" borderId="14" xfId="206" applyFont="1" applyFill="1" applyBorder="1" applyAlignment="1">
      <alignment horizontal="center" vertical="center"/>
    </xf>
    <xf numFmtId="0" fontId="195" fillId="0" borderId="0" xfId="0" applyFont="1" applyAlignment="1">
      <alignment wrapText="1"/>
    </xf>
    <xf numFmtId="0" fontId="0" fillId="0" borderId="0" xfId="0" applyAlignment="1">
      <alignment wrapText="1"/>
    </xf>
    <xf numFmtId="0" fontId="197" fillId="0" borderId="0" xfId="0" applyFont="1" applyAlignment="1">
      <alignment wrapText="1"/>
    </xf>
    <xf numFmtId="0" fontId="36" fillId="0" borderId="0" xfId="0" applyFont="1" applyAlignment="1">
      <alignment wrapText="1"/>
    </xf>
    <xf numFmtId="0" fontId="196" fillId="39" borderId="0" xfId="0" applyFont="1" applyFill="1" applyAlignment="1">
      <alignment wrapText="1"/>
    </xf>
    <xf numFmtId="0" fontId="39" fillId="39" borderId="0" xfId="0" applyFont="1" applyFill="1" applyAlignment="1">
      <alignment wrapText="1"/>
    </xf>
    <xf numFmtId="0" fontId="197" fillId="0" borderId="0" xfId="0" applyFont="1" applyAlignment="1">
      <alignment horizontal="center" vertical="center" wrapText="1"/>
    </xf>
    <xf numFmtId="0" fontId="199" fillId="0" borderId="0" xfId="0" applyFont="1" applyAlignment="1">
      <alignment wrapText="1"/>
    </xf>
    <xf numFmtId="0" fontId="91" fillId="0" borderId="0" xfId="153" applyFont="1" applyAlignment="1">
      <alignment horizontal="center" vertical="center"/>
    </xf>
    <xf numFmtId="0" fontId="92" fillId="0" borderId="0" xfId="455" applyFont="1" applyAlignment="1">
      <alignment horizontal="center" vertical="center"/>
    </xf>
    <xf numFmtId="3" fontId="92" fillId="0" borderId="0" xfId="79" applyNumberFormat="1" applyFont="1" applyBorder="1" applyAlignment="1">
      <alignment horizontal="right" vertical="center"/>
    </xf>
    <xf numFmtId="0" fontId="91" fillId="0" borderId="14" xfId="455" applyFont="1" applyFill="1" applyBorder="1" applyAlignment="1">
      <alignment horizontal="center" vertical="center" wrapText="1"/>
    </xf>
    <xf numFmtId="0" fontId="91" fillId="0" borderId="98" xfId="455" applyFont="1" applyFill="1" applyBorder="1" applyAlignment="1">
      <alignment vertical="center" wrapText="1"/>
    </xf>
    <xf numFmtId="0" fontId="91" fillId="0" borderId="56" xfId="455" applyFont="1" applyFill="1" applyBorder="1" applyAlignment="1">
      <alignment vertical="center" wrapText="1"/>
    </xf>
    <xf numFmtId="3" fontId="92" fillId="0" borderId="70" xfId="79" applyNumberFormat="1" applyFont="1" applyBorder="1" applyAlignment="1">
      <alignment horizontal="right" vertical="center"/>
    </xf>
    <xf numFmtId="0" fontId="113" fillId="0" borderId="84" xfId="455" applyFont="1" applyFill="1" applyBorder="1" applyAlignment="1">
      <alignment horizontal="center" vertical="center" wrapText="1"/>
    </xf>
    <xf numFmtId="0" fontId="113" fillId="0" borderId="85" xfId="455" applyFont="1" applyFill="1" applyBorder="1" applyAlignment="1">
      <alignment horizontal="center" vertical="center" wrapText="1"/>
    </xf>
    <xf numFmtId="0" fontId="91" fillId="0" borderId="89" xfId="455" applyFont="1" applyFill="1" applyBorder="1" applyAlignment="1">
      <alignment vertical="center" wrapText="1"/>
    </xf>
    <xf numFmtId="0" fontId="91" fillId="0" borderId="100" xfId="455" applyFont="1" applyFill="1" applyBorder="1" applyAlignment="1">
      <alignment vertical="center" wrapText="1"/>
    </xf>
    <xf numFmtId="0" fontId="91" fillId="0" borderId="101" xfId="455" applyFont="1" applyFill="1" applyBorder="1" applyAlignment="1">
      <alignment vertical="center" wrapText="1"/>
    </xf>
    <xf numFmtId="0" fontId="91" fillId="0" borderId="103" xfId="455" applyFont="1" applyFill="1" applyBorder="1" applyAlignment="1">
      <alignment vertical="center" wrapText="1"/>
    </xf>
    <xf numFmtId="0" fontId="91" fillId="0" borderId="104" xfId="455" applyFont="1" applyFill="1" applyBorder="1" applyAlignment="1">
      <alignment vertical="center" wrapText="1"/>
    </xf>
    <xf numFmtId="0" fontId="82" fillId="0" borderId="105" xfId="455" applyFont="1" applyFill="1" applyBorder="1" applyAlignment="1">
      <alignment vertical="center" wrapText="1"/>
    </xf>
    <xf numFmtId="0" fontId="82" fillId="0" borderId="106" xfId="455" applyFont="1" applyFill="1" applyBorder="1" applyAlignment="1">
      <alignment vertical="center" wrapText="1"/>
    </xf>
    <xf numFmtId="0" fontId="82" fillId="0" borderId="105" xfId="455" applyFont="1" applyFill="1" applyBorder="1" applyAlignment="1">
      <alignment horizontal="left" vertical="center" wrapText="1"/>
    </xf>
    <xf numFmtId="0" fontId="82" fillId="0" borderId="106" xfId="455" applyFont="1" applyFill="1" applyBorder="1" applyAlignment="1">
      <alignment horizontal="left" vertical="center" wrapText="1"/>
    </xf>
    <xf numFmtId="3" fontId="82" fillId="0" borderId="15" xfId="455" applyNumberFormat="1" applyFont="1" applyFill="1" applyBorder="1" applyAlignment="1">
      <alignment horizontal="right" vertical="center"/>
    </xf>
    <xf numFmtId="3" fontId="82" fillId="0" borderId="16" xfId="455" applyNumberFormat="1" applyFont="1" applyFill="1" applyBorder="1" applyAlignment="1">
      <alignment horizontal="right" vertical="center"/>
    </xf>
    <xf numFmtId="3" fontId="91" fillId="0" borderId="94" xfId="455" applyNumberFormat="1" applyFont="1" applyFill="1" applyBorder="1" applyAlignment="1">
      <alignment horizontal="right" vertical="center"/>
    </xf>
    <xf numFmtId="3" fontId="91" fillId="0" borderId="20" xfId="455" applyNumberFormat="1" applyFont="1" applyFill="1" applyBorder="1" applyAlignment="1">
      <alignment horizontal="right" vertical="center"/>
    </xf>
    <xf numFmtId="0" fontId="91" fillId="0" borderId="14" xfId="455" applyFont="1" applyFill="1" applyBorder="1" applyAlignment="1">
      <alignment vertical="center" wrapText="1"/>
    </xf>
    <xf numFmtId="0" fontId="91" fillId="0" borderId="88" xfId="455" applyFont="1" applyFill="1" applyBorder="1" applyAlignment="1">
      <alignment vertical="center" wrapText="1"/>
    </xf>
    <xf numFmtId="0" fontId="91" fillId="0" borderId="75" xfId="455" applyFont="1" applyFill="1" applyBorder="1" applyAlignment="1">
      <alignment horizontal="center"/>
    </xf>
    <xf numFmtId="0" fontId="91" fillId="0" borderId="71" xfId="455" applyFont="1" applyFill="1" applyBorder="1" applyAlignment="1">
      <alignment horizontal="center"/>
    </xf>
    <xf numFmtId="0" fontId="12" fillId="0" borderId="0" xfId="206" applyFont="1" applyFill="1" applyAlignment="1">
      <alignment horizontal="center" vertical="center"/>
    </xf>
    <xf numFmtId="3" fontId="113" fillId="0" borderId="68" xfId="206" applyNumberFormat="1" applyFont="1" applyFill="1" applyBorder="1" applyAlignment="1">
      <alignment horizontal="center" vertical="center"/>
    </xf>
    <xf numFmtId="0" fontId="30" fillId="0" borderId="14" xfId="206" applyFont="1" applyFill="1" applyBorder="1" applyAlignment="1">
      <alignment horizontal="center" vertical="center" wrapText="1"/>
    </xf>
    <xf numFmtId="0" fontId="28" fillId="0" borderId="14" xfId="206" applyFont="1" applyFill="1" applyBorder="1" applyAlignment="1">
      <alignment horizontal="center" vertical="center" wrapText="1"/>
    </xf>
    <xf numFmtId="0" fontId="30" fillId="0" borderId="14" xfId="206" applyFont="1" applyFill="1" applyBorder="1" applyAlignment="1">
      <alignment horizontal="center" vertical="center"/>
    </xf>
    <xf numFmtId="3" fontId="30" fillId="0" borderId="15" xfId="206" applyNumberFormat="1" applyFont="1" applyFill="1" applyBorder="1" applyAlignment="1">
      <alignment horizontal="center" vertical="center" wrapText="1"/>
    </xf>
    <xf numFmtId="3" fontId="30" fillId="0" borderId="25" xfId="206" applyNumberFormat="1" applyFont="1" applyFill="1" applyBorder="1" applyAlignment="1">
      <alignment horizontal="center" vertical="center" wrapText="1"/>
    </xf>
    <xf numFmtId="0" fontId="35" fillId="0" borderId="15" xfId="0" applyFont="1" applyFill="1" applyBorder="1" applyAlignment="1">
      <alignment vertical="center" wrapText="1"/>
    </xf>
    <xf numFmtId="0" fontId="35" fillId="0" borderId="16" xfId="0" applyFont="1" applyFill="1" applyBorder="1" applyAlignment="1">
      <alignment vertical="center" wrapText="1"/>
    </xf>
    <xf numFmtId="0" fontId="35" fillId="0" borderId="25" xfId="0" applyFont="1" applyFill="1" applyBorder="1" applyAlignment="1">
      <alignment vertical="center" wrapText="1"/>
    </xf>
    <xf numFmtId="0" fontId="28" fillId="0" borderId="47" xfId="0" applyFont="1" applyFill="1" applyBorder="1" applyAlignment="1">
      <alignment wrapText="1"/>
    </xf>
    <xf numFmtId="0" fontId="30" fillId="0" borderId="14" xfId="368" applyFont="1" applyFill="1" applyBorder="1" applyAlignment="1">
      <alignment horizontal="left" vertical="center"/>
    </xf>
    <xf numFmtId="0" fontId="30" fillId="35" borderId="14" xfId="368" applyFont="1" applyFill="1" applyBorder="1" applyAlignment="1">
      <alignment horizontal="left" vertical="center"/>
    </xf>
    <xf numFmtId="0" fontId="30" fillId="0" borderId="26" xfId="368" applyFont="1" applyFill="1" applyBorder="1" applyAlignment="1">
      <alignment horizontal="left" vertical="center" wrapText="1"/>
    </xf>
    <xf numFmtId="0" fontId="30" fillId="0" borderId="14" xfId="368" applyFont="1" applyFill="1" applyBorder="1" applyAlignment="1">
      <alignment horizontal="left" vertical="center" wrapText="1"/>
    </xf>
    <xf numFmtId="0" fontId="30" fillId="0" borderId="14" xfId="368" applyFont="1" applyFill="1" applyBorder="1" applyAlignment="1">
      <alignment horizontal="center" vertical="center" wrapText="1"/>
    </xf>
    <xf numFmtId="0" fontId="30" fillId="0" borderId="26" xfId="368" applyFont="1" applyFill="1" applyBorder="1" applyAlignment="1">
      <alignment horizontal="center" vertical="center" wrapText="1"/>
    </xf>
    <xf numFmtId="0" fontId="30" fillId="37" borderId="79" xfId="368" applyFont="1" applyFill="1" applyBorder="1" applyAlignment="1">
      <alignment horizontal="center" vertical="center" wrapText="1"/>
    </xf>
    <xf numFmtId="0" fontId="30" fillId="37" borderId="80" xfId="368" applyFont="1" applyFill="1"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30" fillId="0" borderId="16" xfId="368" applyFont="1" applyFill="1" applyBorder="1" applyAlignment="1">
      <alignment horizontal="center" vertical="center" wrapText="1"/>
    </xf>
    <xf numFmtId="0" fontId="30" fillId="0" borderId="25" xfId="368" applyFont="1" applyFill="1" applyBorder="1" applyAlignment="1">
      <alignment horizontal="center" vertical="center" wrapText="1"/>
    </xf>
    <xf numFmtId="0" fontId="91" fillId="0" borderId="14" xfId="368" applyFont="1" applyFill="1" applyBorder="1" applyAlignment="1">
      <alignment horizontal="center" vertical="center" wrapText="1"/>
    </xf>
    <xf numFmtId="49" fontId="32" fillId="0" borderId="14" xfId="368" applyNumberFormat="1" applyFont="1" applyFill="1" applyBorder="1" applyAlignment="1">
      <alignment horizontal="center" vertical="center" wrapText="1"/>
    </xf>
    <xf numFmtId="0" fontId="30" fillId="0" borderId="60" xfId="368" applyFont="1" applyFill="1" applyBorder="1" applyAlignment="1">
      <alignment horizontal="center" vertical="center" wrapText="1"/>
    </xf>
    <xf numFmtId="0" fontId="30" fillId="0" borderId="9" xfId="368" applyFont="1" applyFill="1" applyBorder="1" applyAlignment="1">
      <alignment horizontal="center" vertical="center" wrapText="1"/>
    </xf>
    <xf numFmtId="0" fontId="30" fillId="0" borderId="54" xfId="368" applyFont="1" applyFill="1" applyBorder="1" applyAlignment="1">
      <alignment horizontal="center" vertical="center" wrapText="1"/>
    </xf>
    <xf numFmtId="0" fontId="30" fillId="0" borderId="0" xfId="368" applyFont="1" applyFill="1" applyBorder="1" applyAlignment="1">
      <alignment horizontal="center" vertical="center" wrapText="1"/>
    </xf>
    <xf numFmtId="0" fontId="32" fillId="0" borderId="0" xfId="368" applyFont="1" applyFill="1" applyBorder="1" applyAlignment="1">
      <alignment horizontal="center" vertical="center" wrapText="1"/>
    </xf>
    <xf numFmtId="0" fontId="30" fillId="0" borderId="40" xfId="368" applyFont="1" applyFill="1" applyBorder="1" applyAlignment="1">
      <alignment horizontal="center" vertical="center"/>
    </xf>
    <xf numFmtId="0" fontId="30" fillId="0" borderId="26" xfId="368" applyFont="1" applyFill="1" applyBorder="1" applyAlignment="1">
      <alignment horizontal="center" vertical="center"/>
    </xf>
    <xf numFmtId="0" fontId="30" fillId="0" borderId="41" xfId="368" applyFont="1" applyFill="1" applyBorder="1" applyAlignment="1">
      <alignment horizontal="center" vertical="center" wrapText="1"/>
    </xf>
    <xf numFmtId="0" fontId="30" fillId="0" borderId="18" xfId="368" applyFont="1" applyFill="1" applyBorder="1" applyAlignment="1">
      <alignment horizontal="center" vertical="center" wrapText="1"/>
    </xf>
    <xf numFmtId="0" fontId="30" fillId="0" borderId="74" xfId="368" applyFont="1" applyFill="1" applyBorder="1" applyAlignment="1">
      <alignment horizontal="center" vertical="center" wrapText="1"/>
    </xf>
    <xf numFmtId="0" fontId="30" fillId="0" borderId="69" xfId="368" applyFont="1" applyFill="1" applyBorder="1" applyAlignment="1">
      <alignment horizontal="center" vertical="center" wrapText="1"/>
    </xf>
    <xf numFmtId="0" fontId="30" fillId="0" borderId="65" xfId="368" applyFont="1" applyFill="1" applyBorder="1" applyAlignment="1">
      <alignment horizontal="center" vertical="center" wrapText="1"/>
    </xf>
    <xf numFmtId="0" fontId="30" fillId="0" borderId="75" xfId="368" applyFont="1" applyFill="1" applyBorder="1" applyAlignment="1">
      <alignment horizontal="center" vertical="center" wrapText="1"/>
    </xf>
    <xf numFmtId="0" fontId="30" fillId="0" borderId="71" xfId="368" applyFont="1" applyFill="1" applyBorder="1" applyAlignment="1">
      <alignment horizontal="center" vertical="center" wrapText="1"/>
    </xf>
    <xf numFmtId="0" fontId="91" fillId="0" borderId="14" xfId="453" applyFont="1" applyBorder="1" applyAlignment="1">
      <alignment horizontal="center" vertical="center" wrapText="1"/>
    </xf>
    <xf numFmtId="0" fontId="28" fillId="0" borderId="0" xfId="453" applyFont="1" applyAlignment="1">
      <alignment horizontal="center"/>
    </xf>
    <xf numFmtId="0" fontId="155" fillId="0" borderId="0" xfId="453" applyFont="1" applyAlignment="1">
      <alignment horizontal="center"/>
    </xf>
    <xf numFmtId="0" fontId="30" fillId="0" borderId="0" xfId="453" applyFont="1" applyAlignment="1">
      <alignment horizontal="center"/>
    </xf>
    <xf numFmtId="0" fontId="156" fillId="0" borderId="0" xfId="453" applyFont="1" applyAlignment="1">
      <alignment horizontal="center"/>
    </xf>
    <xf numFmtId="0" fontId="12" fillId="0" borderId="0" xfId="453" applyFont="1" applyBorder="1" applyAlignment="1">
      <alignment horizontal="center"/>
    </xf>
    <xf numFmtId="0" fontId="91" fillId="0" borderId="15" xfId="453" applyFont="1" applyBorder="1" applyAlignment="1">
      <alignment horizontal="center" vertical="center" wrapText="1"/>
    </xf>
    <xf numFmtId="0" fontId="91" fillId="0" borderId="16" xfId="453" applyFont="1" applyBorder="1" applyAlignment="1">
      <alignment horizontal="center" vertical="center" wrapText="1"/>
    </xf>
    <xf numFmtId="0" fontId="91" fillId="0" borderId="25" xfId="453" applyFont="1" applyBorder="1" applyAlignment="1">
      <alignment horizontal="center" vertical="center" wrapText="1"/>
    </xf>
    <xf numFmtId="0" fontId="91" fillId="0" borderId="75" xfId="453" applyFont="1" applyBorder="1" applyAlignment="1">
      <alignment horizontal="center" vertical="center" wrapText="1"/>
    </xf>
    <xf numFmtId="0" fontId="91" fillId="0" borderId="47" xfId="453" applyFont="1" applyBorder="1" applyAlignment="1">
      <alignment horizontal="center" vertical="center" wrapText="1"/>
    </xf>
    <xf numFmtId="0" fontId="91" fillId="0" borderId="67" xfId="453" applyFont="1" applyBorder="1" applyAlignment="1">
      <alignment horizontal="center" vertical="center" wrapText="1"/>
    </xf>
    <xf numFmtId="0" fontId="161" fillId="0" borderId="14" xfId="453" applyFont="1" applyBorder="1" applyAlignment="1">
      <alignment horizontal="center" vertical="center" wrapText="1"/>
    </xf>
    <xf numFmtId="0" fontId="162" fillId="0" borderId="14" xfId="453" applyFont="1" applyBorder="1" applyAlignment="1">
      <alignment horizontal="center" vertical="center" wrapText="1"/>
    </xf>
    <xf numFmtId="0" fontId="160" fillId="0" borderId="14" xfId="453" applyFont="1" applyBorder="1" applyAlignment="1">
      <alignment horizontal="center" vertical="center" wrapText="1"/>
    </xf>
    <xf numFmtId="0" fontId="12" fillId="0" borderId="0" xfId="367" applyFont="1" applyFill="1" applyAlignment="1">
      <alignment horizontal="center" vertical="center"/>
    </xf>
    <xf numFmtId="0" fontId="30" fillId="0" borderId="69" xfId="367" applyFont="1" applyFill="1" applyBorder="1" applyAlignment="1">
      <alignment horizontal="left" vertical="center"/>
    </xf>
    <xf numFmtId="0" fontId="30" fillId="0" borderId="16" xfId="367" applyFont="1" applyFill="1" applyBorder="1" applyAlignment="1">
      <alignment horizontal="left" vertical="center"/>
    </xf>
    <xf numFmtId="0" fontId="30" fillId="0" borderId="47" xfId="367" applyFont="1" applyFill="1" applyBorder="1" applyAlignment="1">
      <alignment horizontal="left" vertical="center"/>
    </xf>
    <xf numFmtId="3" fontId="113" fillId="0" borderId="68" xfId="367" applyNumberFormat="1" applyFont="1" applyFill="1" applyBorder="1" applyAlignment="1">
      <alignment horizontal="right" vertical="center"/>
    </xf>
    <xf numFmtId="0" fontId="111" fillId="0" borderId="14" xfId="367" applyFont="1" applyFill="1" applyBorder="1" applyAlignment="1">
      <alignment horizontal="center" vertical="center" wrapText="1"/>
    </xf>
    <xf numFmtId="3" fontId="111" fillId="0" borderId="14" xfId="367" applyNumberFormat="1" applyFont="1" applyFill="1" applyBorder="1" applyAlignment="1">
      <alignment horizontal="center" vertical="center" wrapText="1"/>
    </xf>
    <xf numFmtId="0" fontId="111" fillId="0" borderId="14" xfId="367" applyFont="1" applyFill="1" applyBorder="1" applyAlignment="1">
      <alignment horizontal="center" vertical="center"/>
    </xf>
    <xf numFmtId="0" fontId="193" fillId="38" borderId="15" xfId="0" applyFont="1" applyFill="1" applyBorder="1" applyAlignment="1">
      <alignment vertical="center" wrapText="1"/>
    </xf>
    <xf numFmtId="0" fontId="193" fillId="38" borderId="16" xfId="0" applyFont="1" applyFill="1" applyBorder="1" applyAlignment="1">
      <alignment vertical="center" wrapText="1"/>
    </xf>
    <xf numFmtId="184" fontId="187" fillId="38" borderId="15" xfId="77" applyNumberFormat="1" applyFont="1" applyFill="1" applyBorder="1" applyAlignment="1">
      <alignment horizontal="center" vertical="center" wrapText="1"/>
    </xf>
    <xf numFmtId="184" fontId="187" fillId="38" borderId="25" xfId="77" applyNumberFormat="1" applyFont="1" applyFill="1" applyBorder="1" applyAlignment="1">
      <alignment horizontal="center" vertical="center" wrapText="1"/>
    </xf>
    <xf numFmtId="0" fontId="30" fillId="0" borderId="14" xfId="0" applyFont="1" applyBorder="1" applyAlignment="1">
      <alignment horizontal="center" vertical="center" wrapText="1"/>
    </xf>
    <xf numFmtId="0" fontId="12" fillId="0" borderId="0" xfId="0" applyFont="1" applyAlignment="1">
      <alignment wrapText="1"/>
    </xf>
    <xf numFmtId="0" fontId="30" fillId="0" borderId="15" xfId="0" applyFont="1" applyBorder="1" applyAlignment="1">
      <alignment horizontal="center" vertical="center" wrapText="1"/>
    </xf>
    <xf numFmtId="0" fontId="30" fillId="0" borderId="25" xfId="0" applyFont="1" applyBorder="1" applyAlignment="1">
      <alignment horizontal="center" vertical="center" wrapText="1"/>
    </xf>
    <xf numFmtId="0" fontId="0" fillId="0" borderId="25" xfId="0" applyBorder="1" applyAlignment="1">
      <alignment horizontal="center" vertical="center" wrapText="1"/>
    </xf>
    <xf numFmtId="0" fontId="30" fillId="0" borderId="0" xfId="153" applyFont="1" applyFill="1" applyAlignment="1">
      <alignment horizontal="center" vertical="center"/>
    </xf>
    <xf numFmtId="0" fontId="34" fillId="0" borderId="0" xfId="0" applyFont="1" applyFill="1" applyBorder="1" applyAlignment="1">
      <alignment vertical="center" wrapText="1"/>
    </xf>
    <xf numFmtId="0" fontId="34" fillId="0" borderId="70" xfId="0" applyFont="1" applyFill="1" applyBorder="1" applyAlignment="1">
      <alignment vertical="center" wrapText="1"/>
    </xf>
    <xf numFmtId="0" fontId="0" fillId="0" borderId="70" xfId="0" applyFill="1" applyBorder="1" applyAlignment="1">
      <alignment vertical="center" wrapText="1"/>
    </xf>
    <xf numFmtId="185" fontId="30" fillId="0" borderId="0" xfId="79" applyNumberFormat="1" applyFont="1" applyFill="1" applyBorder="1" applyAlignment="1">
      <alignment vertical="center" wrapText="1"/>
    </xf>
    <xf numFmtId="0" fontId="149" fillId="0" borderId="0" xfId="0" applyFont="1" applyFill="1" applyBorder="1" applyAlignment="1">
      <alignment vertical="center" wrapText="1"/>
    </xf>
    <xf numFmtId="174" fontId="83" fillId="0" borderId="70" xfId="0" applyNumberFormat="1" applyFont="1" applyFill="1" applyBorder="1" applyAlignment="1">
      <alignment horizontal="right" vertical="center" wrapText="1"/>
    </xf>
    <xf numFmtId="0" fontId="34" fillId="29" borderId="70" xfId="0" applyFont="1" applyFill="1" applyBorder="1" applyAlignment="1">
      <alignment vertical="center" wrapText="1"/>
    </xf>
    <xf numFmtId="0" fontId="0" fillId="29" borderId="70" xfId="0" applyFill="1" applyBorder="1" applyAlignment="1">
      <alignment vertical="center" wrapText="1"/>
    </xf>
    <xf numFmtId="0" fontId="34" fillId="28" borderId="70" xfId="0" applyFont="1" applyFill="1" applyBorder="1" applyAlignment="1">
      <alignment vertical="center" wrapText="1"/>
    </xf>
    <xf numFmtId="0" fontId="0" fillId="0" borderId="68" xfId="0" applyFill="1" applyBorder="1" applyAlignment="1">
      <alignment horizontal="center" wrapText="1"/>
    </xf>
    <xf numFmtId="0" fontId="0" fillId="0" borderId="68" xfId="0" applyFill="1" applyBorder="1" applyAlignment="1">
      <alignment horizontal="center" vertical="center" wrapText="1"/>
    </xf>
    <xf numFmtId="0" fontId="30" fillId="0" borderId="0" xfId="0" applyFont="1" applyFill="1" applyAlignment="1">
      <alignment wrapText="1"/>
    </xf>
    <xf numFmtId="0" fontId="0" fillId="0" borderId="0" xfId="0" applyFill="1" applyAlignment="1">
      <alignment wrapText="1"/>
    </xf>
    <xf numFmtId="0" fontId="99" fillId="0" borderId="0" xfId="205" applyFont="1" applyAlignment="1">
      <alignment wrapText="1"/>
    </xf>
    <xf numFmtId="0" fontId="28" fillId="0" borderId="0" xfId="0" applyFont="1" applyAlignment="1">
      <alignment wrapText="1"/>
    </xf>
    <xf numFmtId="0" fontId="30" fillId="0" borderId="67"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wrapText="1"/>
    </xf>
    <xf numFmtId="0" fontId="28" fillId="0" borderId="60" xfId="0" applyFont="1" applyBorder="1" applyAlignment="1">
      <alignment wrapText="1"/>
    </xf>
    <xf numFmtId="0" fontId="28" fillId="0" borderId="9" xfId="0" applyFont="1" applyBorder="1" applyAlignment="1">
      <alignment wrapText="1"/>
    </xf>
    <xf numFmtId="0" fontId="35" fillId="0" borderId="57"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52"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3" fillId="26" borderId="51" xfId="0" applyFont="1" applyFill="1" applyBorder="1" applyAlignment="1">
      <alignment horizontal="justify" vertical="center" wrapText="1"/>
    </xf>
    <xf numFmtId="0" fontId="30" fillId="0" borderId="0" xfId="0" applyFont="1" applyAlignment="1">
      <alignment horizontal="center" vertical="center" wrapText="1"/>
    </xf>
    <xf numFmtId="0" fontId="30" fillId="25" borderId="40" xfId="0" applyFont="1" applyFill="1" applyBorder="1" applyAlignment="1">
      <alignment horizontal="center" vertical="center" wrapText="1"/>
    </xf>
    <xf numFmtId="0" fontId="30" fillId="25" borderId="26" xfId="0" applyFont="1" applyFill="1" applyBorder="1" applyAlignment="1">
      <alignment horizontal="center" vertical="center" wrapText="1"/>
    </xf>
    <xf numFmtId="0" fontId="30" fillId="25" borderId="41" xfId="0" applyFont="1" applyFill="1" applyBorder="1" applyAlignment="1">
      <alignment horizontal="center" vertical="center" wrapText="1"/>
    </xf>
    <xf numFmtId="0" fontId="30" fillId="25" borderId="14" xfId="0" applyFont="1" applyFill="1" applyBorder="1" applyAlignment="1">
      <alignment horizontal="center" vertical="center" wrapText="1"/>
    </xf>
  </cellXfs>
  <cellStyles count="456">
    <cellStyle name="          _x000d__x000a_shell=progman.exe_x000d__x000a_m" xfId="208"/>
    <cellStyle name="          _x000d__x000a_shell=progman.exe_x000d__x000a_m 2" xfId="209"/>
    <cellStyle name="_x000d__x000a_JournalTemplate=C:\COMFO\CTALK\JOURSTD.TPL_x000d__x000a_LbStateAddress=3 3 0 251 1 89 2 311_x000d__x000a_LbStateJou" xfId="210"/>
    <cellStyle name="??" xfId="1"/>
    <cellStyle name="?? [0.00]_ Att. 1- Cover" xfId="211"/>
    <cellStyle name="?? [0]" xfId="2"/>
    <cellStyle name="???? [0.00]_PRODUCT DETAIL Q1" xfId="3"/>
    <cellStyle name="????_PRODUCT DETAIL Q1" xfId="4"/>
    <cellStyle name="???[0]_00Q3902REV.1" xfId="212"/>
    <cellStyle name="???_00Q3902REV.1" xfId="213"/>
    <cellStyle name="??[0]_BRE" xfId="214"/>
    <cellStyle name="??_ Att. 1- Cover" xfId="215"/>
    <cellStyle name="1" xfId="216"/>
    <cellStyle name="2" xfId="217"/>
    <cellStyle name="20% - Accent1" xfId="5" builtinId="30" customBuiltin="1"/>
    <cellStyle name="20% - Accent1 2" xfId="6"/>
    <cellStyle name="20% - Accent1 3" xfId="218"/>
    <cellStyle name="20% - Accent2" xfId="7" builtinId="34" customBuiltin="1"/>
    <cellStyle name="20% - Accent2 2" xfId="8"/>
    <cellStyle name="20% - Accent2 3" xfId="219"/>
    <cellStyle name="20% - Accent3" xfId="9" builtinId="38" customBuiltin="1"/>
    <cellStyle name="20% - Accent3 2" xfId="10"/>
    <cellStyle name="20% - Accent3 3" xfId="220"/>
    <cellStyle name="20% - Accent4" xfId="11" builtinId="42" customBuiltin="1"/>
    <cellStyle name="20% - Accent4 2" xfId="12"/>
    <cellStyle name="20% - Accent4 3" xfId="221"/>
    <cellStyle name="20% - Accent5" xfId="13" builtinId="46" customBuiltin="1"/>
    <cellStyle name="20% - Accent5 2" xfId="14"/>
    <cellStyle name="20% - Accent5 3" xfId="222"/>
    <cellStyle name="20% - Accent6" xfId="15" builtinId="50" customBuiltin="1"/>
    <cellStyle name="20% - Accent6 2" xfId="16"/>
    <cellStyle name="20% - Accent6 3" xfId="223"/>
    <cellStyle name="20% - Nhấn1" xfId="17"/>
    <cellStyle name="20% - Nhấn2" xfId="18"/>
    <cellStyle name="20% - Nhấn3" xfId="19"/>
    <cellStyle name="20% - Nhấn4" xfId="20"/>
    <cellStyle name="20% - Nhấn5" xfId="21"/>
    <cellStyle name="20% - Nhấn6" xfId="22"/>
    <cellStyle name="3" xfId="224"/>
    <cellStyle name="4" xfId="225"/>
    <cellStyle name="40% - Accent1" xfId="23" builtinId="31" customBuiltin="1"/>
    <cellStyle name="40% - Accent1 2" xfId="24"/>
    <cellStyle name="40% - Accent1 3" xfId="226"/>
    <cellStyle name="40% - Accent2" xfId="25" builtinId="35" customBuiltin="1"/>
    <cellStyle name="40% - Accent2 2" xfId="26"/>
    <cellStyle name="40% - Accent2 3" xfId="227"/>
    <cellStyle name="40% - Accent3" xfId="27" builtinId="39" customBuiltin="1"/>
    <cellStyle name="40% - Accent3 2" xfId="28"/>
    <cellStyle name="40% - Accent3 3" xfId="228"/>
    <cellStyle name="40% - Accent4" xfId="29" builtinId="43" customBuiltin="1"/>
    <cellStyle name="40% - Accent4 2" xfId="30"/>
    <cellStyle name="40% - Accent4 3" xfId="229"/>
    <cellStyle name="40% - Accent5" xfId="31" builtinId="47" customBuiltin="1"/>
    <cellStyle name="40% - Accent5 2" xfId="32"/>
    <cellStyle name="40% - Accent5 3" xfId="230"/>
    <cellStyle name="40% - Accent6" xfId="33" builtinId="51" customBuiltin="1"/>
    <cellStyle name="40% - Accent6 2" xfId="34"/>
    <cellStyle name="40% - Accent6 3" xfId="231"/>
    <cellStyle name="40% - Nhấn1" xfId="35"/>
    <cellStyle name="40% - Nhấn2" xfId="36"/>
    <cellStyle name="40% - Nhấn3" xfId="37"/>
    <cellStyle name="40% - Nhấn4" xfId="38"/>
    <cellStyle name="40% - Nhấn5" xfId="39"/>
    <cellStyle name="40% - Nhấn6" xfId="40"/>
    <cellStyle name="6" xfId="232"/>
    <cellStyle name="6 2" xfId="233"/>
    <cellStyle name="60% - Accent1" xfId="41" builtinId="32" customBuiltin="1"/>
    <cellStyle name="60% - Accent1 2" xfId="42"/>
    <cellStyle name="60% - Accent1 3" xfId="234"/>
    <cellStyle name="60% - Accent2" xfId="43" builtinId="36" customBuiltin="1"/>
    <cellStyle name="60% - Accent2 2" xfId="44"/>
    <cellStyle name="60% - Accent2 3" xfId="235"/>
    <cellStyle name="60% - Accent3" xfId="45" builtinId="40" customBuiltin="1"/>
    <cellStyle name="60% - Accent3 2" xfId="46"/>
    <cellStyle name="60% - Accent3 3" xfId="236"/>
    <cellStyle name="60% - Accent4" xfId="47" builtinId="44" customBuiltin="1"/>
    <cellStyle name="60% - Accent4 2" xfId="48"/>
    <cellStyle name="60% - Accent4 3" xfId="237"/>
    <cellStyle name="60% - Accent5" xfId="49" builtinId="48" customBuiltin="1"/>
    <cellStyle name="60% - Accent5 2" xfId="50"/>
    <cellStyle name="60% - Accent5 3" xfId="238"/>
    <cellStyle name="60% - Accent6" xfId="51" builtinId="52" customBuiltin="1"/>
    <cellStyle name="60% - Accent6 2" xfId="52"/>
    <cellStyle name="60% - Accent6 3" xfId="239"/>
    <cellStyle name="60% - Nhấn1" xfId="53"/>
    <cellStyle name="60% - Nhấn2" xfId="54"/>
    <cellStyle name="60% - Nhấn3" xfId="55"/>
    <cellStyle name="60% - Nhấn4" xfId="56"/>
    <cellStyle name="60% - Nhấn5" xfId="57"/>
    <cellStyle name="60% - Nhấn6" xfId="58"/>
    <cellStyle name="Accent1" xfId="59" builtinId="29" customBuiltin="1"/>
    <cellStyle name="Accent1 2" xfId="60"/>
    <cellStyle name="Accent1 3" xfId="240"/>
    <cellStyle name="Accent2" xfId="61" builtinId="33" customBuiltin="1"/>
    <cellStyle name="Accent2 2" xfId="62"/>
    <cellStyle name="Accent2 3" xfId="241"/>
    <cellStyle name="Accent3" xfId="63" builtinId="37" customBuiltin="1"/>
    <cellStyle name="Accent3 2" xfId="64"/>
    <cellStyle name="Accent3 3" xfId="242"/>
    <cellStyle name="Accent4" xfId="65" builtinId="41" customBuiltin="1"/>
    <cellStyle name="Accent4 2" xfId="66"/>
    <cellStyle name="Accent4 3" xfId="243"/>
    <cellStyle name="Accent5" xfId="67" builtinId="45" customBuiltin="1"/>
    <cellStyle name="Accent5 2" xfId="68"/>
    <cellStyle name="Accent5 3" xfId="244"/>
    <cellStyle name="Accent6" xfId="69" builtinId="49" customBuiltin="1"/>
    <cellStyle name="Accent6 2" xfId="70"/>
    <cellStyle name="Accent6 3" xfId="245"/>
    <cellStyle name="AeE­ [0]_INQUIRY ¿?¾÷AßAø " xfId="246"/>
    <cellStyle name="AeE­_INQUIRY ¿?¾÷AßAø " xfId="247"/>
    <cellStyle name="args.style" xfId="248"/>
    <cellStyle name="args.style 2" xfId="249"/>
    <cellStyle name="AÞ¸¶ [0]_INQUIRY ¿?¾÷AßAø " xfId="250"/>
    <cellStyle name="AÞ¸¶_INQUIRY ¿?¾÷AßAø " xfId="251"/>
    <cellStyle name="Bad" xfId="71" builtinId="27" customBuiltin="1"/>
    <cellStyle name="Bad 2" xfId="72"/>
    <cellStyle name="Bad 3" xfId="252"/>
    <cellStyle name="Bình thường 2" xfId="253"/>
    <cellStyle name="Bình thường 2 2" xfId="254"/>
    <cellStyle name="Bình thường 2 3" xfId="255"/>
    <cellStyle name="Bình thường 2_CSDL. CAO BANG_LANG SON_ TUYEN QUANG" xfId="256"/>
    <cellStyle name="Body" xfId="257"/>
    <cellStyle name="C?AØ_¿?¾÷CoE² " xfId="258"/>
    <cellStyle name="C￥AØ_¿μ¾÷CoE² " xfId="259"/>
    <cellStyle name="Calc Currency (0)" xfId="260"/>
    <cellStyle name="Calc Currency (0) 2" xfId="261"/>
    <cellStyle name="Calculation" xfId="73" builtinId="22" customBuiltin="1"/>
    <cellStyle name="Calculation 2" xfId="74"/>
    <cellStyle name="Calculation 3" xfId="262"/>
    <cellStyle name="Check Cell" xfId="75" builtinId="23" customBuiltin="1"/>
    <cellStyle name="Check Cell 2" xfId="76"/>
    <cellStyle name="Check Cell 3" xfId="263"/>
    <cellStyle name="Comma" xfId="77"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10" xfId="78"/>
    <cellStyle name="Comma 10 2" xfId="428"/>
    <cellStyle name="Comma 10 3" xfId="432"/>
    <cellStyle name="Comma 11" xfId="207"/>
    <cellStyle name="Comma 12" xfId="272"/>
    <cellStyle name="Comma 13" xfId="454"/>
    <cellStyle name="Comma 14" xfId="273"/>
    <cellStyle name="Comma 15" xfId="274"/>
    <cellStyle name="Comma 2" xfId="79"/>
    <cellStyle name="Comma 2 2" xfId="80"/>
    <cellStyle name="Comma 2 2 2" xfId="81"/>
    <cellStyle name="Comma 2 2 3" xfId="82"/>
    <cellStyle name="Comma 2 3" xfId="83"/>
    <cellStyle name="Comma 2 4" xfId="429"/>
    <cellStyle name="Comma 2_PhuLuc_DanhMucDuLieuThuocTinh" xfId="84"/>
    <cellStyle name="Comma 3" xfId="85"/>
    <cellStyle name="Comma 3 2" xfId="86"/>
    <cellStyle name="Comma 3 2 2" xfId="87"/>
    <cellStyle name="Comma 3 2_KHOILUONGCSDL 21-6-2016" xfId="439"/>
    <cellStyle name="Comma 3 3" xfId="88"/>
    <cellStyle name="Comma 4" xfId="89"/>
    <cellStyle name="Comma 4 2" xfId="90"/>
    <cellStyle name="Comma 4 3" xfId="91"/>
    <cellStyle name="Comma 5" xfId="92"/>
    <cellStyle name="Comma 5 2" xfId="93"/>
    <cellStyle name="Comma 5 3" xfId="275"/>
    <cellStyle name="Comma 5 4" xfId="427"/>
    <cellStyle name="Comma 5_KHOILUONGCSDL 21-6-2016" xfId="440"/>
    <cellStyle name="Comma 6" xfId="94"/>
    <cellStyle name="Comma 6 2" xfId="95"/>
    <cellStyle name="Comma 7" xfId="96"/>
    <cellStyle name="Comma 8" xfId="97"/>
    <cellStyle name="Comma 9" xfId="98"/>
    <cellStyle name="Comma 9_KHOILUONGCSDL 21-6-2016" xfId="438"/>
    <cellStyle name="Comma_toanquoc-20-4" xfId="434"/>
    <cellStyle name="Comma0" xfId="99"/>
    <cellStyle name="Copied" xfId="276"/>
    <cellStyle name="Copied 2" xfId="277"/>
    <cellStyle name="Currency0" xfId="100"/>
    <cellStyle name="Currency0 2" xfId="101"/>
    <cellStyle name="Currency0 3" xfId="102"/>
    <cellStyle name="Date" xfId="103"/>
    <cellStyle name="Đầu ra" xfId="104"/>
    <cellStyle name="Đầu vào" xfId="105"/>
    <cellStyle name="Đề mục 1" xfId="106"/>
    <cellStyle name="Đề mục 2" xfId="107"/>
    <cellStyle name="Đề mục 3" xfId="108"/>
    <cellStyle name="Đề mục 4" xfId="109"/>
    <cellStyle name="Dezimal [0]_NEGS" xfId="278"/>
    <cellStyle name="Dezimal_NEGS" xfId="279"/>
    <cellStyle name="Entered" xfId="280"/>
    <cellStyle name="Entered 2" xfId="281"/>
    <cellStyle name="Explanatory Text" xfId="110" builtinId="53" customBuiltin="1"/>
    <cellStyle name="Explanatory Text 2" xfId="111"/>
    <cellStyle name="Explanatory Text 3" xfId="282"/>
    <cellStyle name="Fixed" xfId="112"/>
    <cellStyle name="Ghi chú" xfId="113"/>
    <cellStyle name="Good" xfId="114" builtinId="26" customBuiltin="1"/>
    <cellStyle name="Good 2" xfId="115"/>
    <cellStyle name="Good 3" xfId="283"/>
    <cellStyle name="Grey" xfId="284"/>
    <cellStyle name="Head 1" xfId="285"/>
    <cellStyle name="Header1" xfId="116"/>
    <cellStyle name="Header2" xfId="117"/>
    <cellStyle name="Heading 1" xfId="118" builtinId="16" customBuiltin="1"/>
    <cellStyle name="Heading 1 2" xfId="119"/>
    <cellStyle name="Heading 2" xfId="120" builtinId="17" customBuiltin="1"/>
    <cellStyle name="Heading 2 2" xfId="121"/>
    <cellStyle name="Heading 3" xfId="122" builtinId="18" customBuiltin="1"/>
    <cellStyle name="Heading 3 2" xfId="123"/>
    <cellStyle name="Heading 3 3" xfId="286"/>
    <cellStyle name="Heading 4" xfId="124" builtinId="19" customBuiltin="1"/>
    <cellStyle name="Heading 4 2" xfId="125"/>
    <cellStyle name="Heading 4 3" xfId="287"/>
    <cellStyle name="HEADINGS" xfId="288"/>
    <cellStyle name="HEADINGS 2" xfId="289"/>
    <cellStyle name="HEADINGSTOP" xfId="290"/>
    <cellStyle name="HEADINGSTOP 2" xfId="291"/>
    <cellStyle name="Hoa-Scholl" xfId="292"/>
    <cellStyle name="Input" xfId="126" builtinId="20" customBuiltin="1"/>
    <cellStyle name="Input [yellow]" xfId="293"/>
    <cellStyle name="Input 10" xfId="294"/>
    <cellStyle name="Input 11" xfId="295"/>
    <cellStyle name="Input 12" xfId="296"/>
    <cellStyle name="Input 2" xfId="127"/>
    <cellStyle name="Input 3" xfId="297"/>
    <cellStyle name="Input 4" xfId="298"/>
    <cellStyle name="Input 5" xfId="299"/>
    <cellStyle name="Input 6" xfId="300"/>
    <cellStyle name="Input 7" xfId="301"/>
    <cellStyle name="Input 8" xfId="302"/>
    <cellStyle name="Input 9" xfId="303"/>
    <cellStyle name="Kiểm tra Ô" xfId="128"/>
    <cellStyle name="Ledger 17 x 11 in" xfId="129"/>
    <cellStyle name="Ledger 17 x 11 in 2" xfId="130"/>
    <cellStyle name="Ledger 17 x 11 in 2 2" xfId="304"/>
    <cellStyle name="Ledger 17 x 11 in 2 3" xfId="305"/>
    <cellStyle name="Ledger 17 x 11 in 2 4" xfId="431"/>
    <cellStyle name="Ledger 17 x 11 in 2_KHOILUONGCSDL 21-6-2016" xfId="433"/>
    <cellStyle name="Ledger 17 x 11 in 3" xfId="131"/>
    <cellStyle name="Ledger 17 x 11 in 4" xfId="306"/>
    <cellStyle name="Ledger 17 x 11 in 5" xfId="307"/>
    <cellStyle name="Ledger 17 x 11 in 6" xfId="308"/>
    <cellStyle name="Ledger 17 x 11 in 7" xfId="430"/>
    <cellStyle name="Ledger 17 x 11 in_KHOILUONGCSDL 21-6-2016" xfId="436"/>
    <cellStyle name="Linked Cell" xfId="132" builtinId="24" customBuiltin="1"/>
    <cellStyle name="Linked Cell 2" xfId="133"/>
    <cellStyle name="Linked Cell 3" xfId="309"/>
    <cellStyle name="Millares [0]_Well Timing" xfId="134"/>
    <cellStyle name="Millares_Well Timing" xfId="135"/>
    <cellStyle name="Moneda [0]_Well Timing" xfId="136"/>
    <cellStyle name="Moneda_Well Timing" xfId="137"/>
    <cellStyle name="n" xfId="138"/>
    <cellStyle name="Neutral" xfId="139" builtinId="28" customBuiltin="1"/>
    <cellStyle name="Neutral 2" xfId="140"/>
    <cellStyle name="Neutral 3" xfId="310"/>
    <cellStyle name="Nhấn1" xfId="141"/>
    <cellStyle name="Nhấn2" xfId="142"/>
    <cellStyle name="Nhấn3" xfId="143"/>
    <cellStyle name="Nhấn4" xfId="144"/>
    <cellStyle name="Nhấn5" xfId="145"/>
    <cellStyle name="Nhấn6" xfId="146"/>
    <cellStyle name="Normal" xfId="0" builtinId="0"/>
    <cellStyle name="Normal - Style1" xfId="311"/>
    <cellStyle name="Normal - Style1 2" xfId="312"/>
    <cellStyle name="Normal 10" xfId="313"/>
    <cellStyle name="Normal 11" xfId="314"/>
    <cellStyle name="Normal 12" xfId="315"/>
    <cellStyle name="Normal 13" xfId="316"/>
    <cellStyle name="Normal 14" xfId="317"/>
    <cellStyle name="Normal 15" xfId="318"/>
    <cellStyle name="Normal 16" xfId="319"/>
    <cellStyle name="Normal 17" xfId="320"/>
    <cellStyle name="Normal 18" xfId="321"/>
    <cellStyle name="Normal 19" xfId="322"/>
    <cellStyle name="Normal 19 2" xfId="323"/>
    <cellStyle name="Normal 2" xfId="147"/>
    <cellStyle name="Normal 2 2" xfId="148"/>
    <cellStyle name="Normal 2 3" xfId="149"/>
    <cellStyle name="Normal 2_DON GIA _UDCNTT_QLNN ver2.2" xfId="324"/>
    <cellStyle name="Normal 2_KHOILUONGCSDL 21-6-2016" xfId="437"/>
    <cellStyle name="Normal 20" xfId="325"/>
    <cellStyle name="Normal 20 2" xfId="326"/>
    <cellStyle name="Normal 21" xfId="327"/>
    <cellStyle name="Normal 21 2" xfId="328"/>
    <cellStyle name="Normal 22" xfId="329"/>
    <cellStyle name="Normal 22 2" xfId="330"/>
    <cellStyle name="Normal 23" xfId="331"/>
    <cellStyle name="Normal 23 2" xfId="332"/>
    <cellStyle name="Normal 24" xfId="333"/>
    <cellStyle name="Normal 24 2" xfId="334"/>
    <cellStyle name="Normal 25" xfId="335"/>
    <cellStyle name="Normal 25 2" xfId="336"/>
    <cellStyle name="Normal 26" xfId="337"/>
    <cellStyle name="Normal 26 2" xfId="338"/>
    <cellStyle name="Normal 27" xfId="339"/>
    <cellStyle name="Normal 27 2" xfId="340"/>
    <cellStyle name="Normal 28" xfId="341"/>
    <cellStyle name="Normal 28 2" xfId="342"/>
    <cellStyle name="Normal 29" xfId="343"/>
    <cellStyle name="Normal 29 2" xfId="344"/>
    <cellStyle name="Normal 3" xfId="150"/>
    <cellStyle name="Normal 3 2" xfId="151"/>
    <cellStyle name="Normal 3 3" xfId="152"/>
    <cellStyle name="Normal 3 4" xfId="153"/>
    <cellStyle name="Normal 3_CSDL. CAO BANG_LANG SON_ TUYEN QUANG" xfId="345"/>
    <cellStyle name="Normal 30" xfId="346"/>
    <cellStyle name="Normal 30 2" xfId="347"/>
    <cellStyle name="Normal 31" xfId="348"/>
    <cellStyle name="Normal 31 2" xfId="349"/>
    <cellStyle name="Normal 32" xfId="350"/>
    <cellStyle name="Normal 32 2" xfId="351"/>
    <cellStyle name="Normal 33" xfId="352"/>
    <cellStyle name="Normal 33 2" xfId="353"/>
    <cellStyle name="Normal 34" xfId="354"/>
    <cellStyle name="Normal 35" xfId="355"/>
    <cellStyle name="Normal 36" xfId="356"/>
    <cellStyle name="Normal 37" xfId="357"/>
    <cellStyle name="Normal 38" xfId="455"/>
    <cellStyle name="Normal 4" xfId="154"/>
    <cellStyle name="Normal 4 2" xfId="155"/>
    <cellStyle name="Normal 4 3" xfId="156"/>
    <cellStyle name="Normal 4 4" xfId="157"/>
    <cellStyle name="Normal 4_KHOILUONGCSDL 21-6-2016" xfId="441"/>
    <cellStyle name="Normal 42" xfId="358"/>
    <cellStyle name="Normal 5" xfId="158"/>
    <cellStyle name="Normal 5 2" xfId="359"/>
    <cellStyle name="Normal 5 3" xfId="360"/>
    <cellStyle name="Normal 5_KHOILUONGCSDL 21-6-2016" xfId="442"/>
    <cellStyle name="Normal 6" xfId="159"/>
    <cellStyle name="Normal 6 2" xfId="361"/>
    <cellStyle name="Normal 6 3" xfId="362"/>
    <cellStyle name="Normal 7" xfId="160"/>
    <cellStyle name="Normal 7 2" xfId="363"/>
    <cellStyle name="Normal 7 3" xfId="364"/>
    <cellStyle name="Normal 7_KHOILUONGCSDL 21-6-2016" xfId="443"/>
    <cellStyle name="Normal 8" xfId="205"/>
    <cellStyle name="Normal 8 2" xfId="365"/>
    <cellStyle name="Normal 8 3" xfId="366"/>
    <cellStyle name="Normal 8_KHOILUONGCSDL 21-6-2016" xfId="444"/>
    <cellStyle name="Normal 9" xfId="206"/>
    <cellStyle name="Normal 9 2" xfId="367"/>
    <cellStyle name="Normal 9_KHOILUONGCSDL 21-6-2016" xfId="445"/>
    <cellStyle name="Normal_CSDL. SƠN LA_ BAC GIANG_ BAC NINH " xfId="368"/>
    <cellStyle name="Normal_KHOILUONGCSDL 21-6-2016" xfId="435"/>
    <cellStyle name="Normal_Sheet1_TH.CSDL.165HUYEN.33TINH.2015.12.22-1" xfId="369"/>
    <cellStyle name="Normal_Tong hop tinh hinh cap GCN huyen Kim Thanh.Hai Duong" xfId="453"/>
    <cellStyle name="Normal1" xfId="370"/>
    <cellStyle name="Normal1 2" xfId="371"/>
    <cellStyle name="Normal1 3" xfId="372"/>
    <cellStyle name="Normal1 4" xfId="373"/>
    <cellStyle name="Note" xfId="161" builtinId="10" customBuiltin="1"/>
    <cellStyle name="Note 2" xfId="162"/>
    <cellStyle name="Note 3" xfId="374"/>
    <cellStyle name="Note 3 2" xfId="375"/>
    <cellStyle name="Note 3_KHOILUONGCSDL 21-6-2016" xfId="446"/>
    <cellStyle name="Note 4" xfId="376"/>
    <cellStyle name="Ô Được nối kết" xfId="163"/>
    <cellStyle name="oft Excel]_x000d__x000a_Comment=The open=/f lines load custom functions into the Paste Function list._x000d__x000a_Maximized=2_x000d__x000a_Basics=1_x000d__x000a_A" xfId="377"/>
    <cellStyle name="oft Excel]_x000d__x000a_Comment=The open=/f lines load custom functions into the Paste Function list._x000d__x000a_Maximized=2_x000d__x000a_Basics=1_x000d__x000a_A 2" xfId="378"/>
    <cellStyle name="oft Excel]_x000d__x000a_Comment=The open=/f lines load custom functions into the Paste Function list._x000d__x000a_Maximized=3_x000d__x000a_Basics=1_x000d__x000a_A" xfId="379"/>
    <cellStyle name="oft Excel]_x000d__x000a_Comment=The open=/f lines load custom functions into the Paste Function list._x000d__x000a_Maximized=3_x000d__x000a_Basics=1_x000d__x000a_A 2" xfId="380"/>
    <cellStyle name="Output" xfId="164" builtinId="21" customBuiltin="1"/>
    <cellStyle name="Output 2" xfId="165"/>
    <cellStyle name="Output 3" xfId="381"/>
    <cellStyle name="per.style" xfId="382"/>
    <cellStyle name="per.style 2" xfId="383"/>
    <cellStyle name="Percent" xfId="166" builtinId="5"/>
    <cellStyle name="Percent [2]" xfId="384"/>
    <cellStyle name="Percent [2] 2" xfId="385"/>
    <cellStyle name="Percent [2] 3" xfId="386"/>
    <cellStyle name="Percent [2] 3 2" xfId="387"/>
    <cellStyle name="Percent 2" xfId="167"/>
    <cellStyle name="Percent 2 2" xfId="388"/>
    <cellStyle name="Percent 2 3" xfId="389"/>
    <cellStyle name="Percent 3" xfId="168"/>
    <cellStyle name="Percent 4" xfId="169"/>
    <cellStyle name="Percent 4 2" xfId="390"/>
    <cellStyle name="Percent 5" xfId="170"/>
    <cellStyle name="Percent 6" xfId="391"/>
    <cellStyle name="regstoresfromspecstores" xfId="392"/>
    <cellStyle name="regstoresfromspecstores 2" xfId="393"/>
    <cellStyle name="RevList" xfId="394"/>
    <cellStyle name="s]_x000d__x000a_spooler=yes_x000d__x000a_load=_x000d__x000a_Beep=yes_x000d__x000a_NullPort=None_x000d__x000a_BorderWidth=3_x000d__x000a_CursorBlinkRate=1200_x000d__x000a_DoubleClickSpeed=452_x000d__x000a_Programs=co" xfId="395"/>
    <cellStyle name="s]_x000d__x000a_spooler=yes_x000d__x000a_load=_x000d__x000a_Beep=yes_x000d__x000a_NullPort=None_x000d__x000a_BorderWidth=3_x000d__x000a_CursorBlinkRate=1200_x000d__x000a_DoubleClickSpeed=452_x000d__x000a_Programs=co 2" xfId="396"/>
    <cellStyle name="SHADEDSTORES" xfId="397"/>
    <cellStyle name="SHADEDSTORES 2" xfId="398"/>
    <cellStyle name="SHADEDSTORES_KHOILUONGCSDL 21-6-2016" xfId="447"/>
    <cellStyle name="sodangoai" xfId="171"/>
    <cellStyle name="specstores" xfId="399"/>
    <cellStyle name="specstores 2" xfId="400"/>
    <cellStyle name="Standard_NEGS" xfId="401"/>
    <cellStyle name="Style 1" xfId="402"/>
    <cellStyle name="Subtotal" xfId="403"/>
    <cellStyle name="T" xfId="404"/>
    <cellStyle name="T 2" xfId="405"/>
    <cellStyle name="T_KHOILUONGCSDL 21-6-2016" xfId="448"/>
    <cellStyle name="T_PhuLuc03" xfId="406"/>
    <cellStyle name="T_PhuLuc03 2" xfId="407"/>
    <cellStyle name="T_PhuLuc03 2_KHOILUONGCSDL 21-6-2016" xfId="449"/>
    <cellStyle name="T_PhuLuc03_KHOILUONGCSDL 21-6-2016" xfId="450"/>
    <cellStyle name="th" xfId="408"/>
    <cellStyle name="th 2" xfId="409"/>
    <cellStyle name="th_KHOILUONGCSDL 21-6-2016" xfId="451"/>
    <cellStyle name="þ_x001d_ð·_x000c_æþ'_x000d_ßþU_x0001_Ø_x0005_ü_x0014__x0007__x0001__x0001_" xfId="410"/>
    <cellStyle name="þ_x001d_ð·_x000c_æþ'_x000d_ßþU_x0001_Ø_x0005_ü_x0014__x0007__x0001__x0001_ 2" xfId="411"/>
    <cellStyle name="Tiêu đề" xfId="172"/>
    <cellStyle name="Tính toán" xfId="173"/>
    <cellStyle name="Title" xfId="174" builtinId="15" customBuiltin="1"/>
    <cellStyle name="Title 2" xfId="175"/>
    <cellStyle name="Title 3" xfId="412"/>
    <cellStyle name="Tổng" xfId="176"/>
    <cellStyle name="Tốt" xfId="177"/>
    <cellStyle name="Total" xfId="178" builtinId="25" customBuiltin="1"/>
    <cellStyle name="Total 2" xfId="179"/>
    <cellStyle name="Trung tính" xfId="180"/>
    <cellStyle name="Văn bản Cảnh báo" xfId="181"/>
    <cellStyle name="Văn bản Giải thích" xfId="182"/>
    <cellStyle name="viet" xfId="413"/>
    <cellStyle name="viet 2" xfId="414"/>
    <cellStyle name="viet2" xfId="415"/>
    <cellStyle name="viet2 2" xfId="416"/>
    <cellStyle name="vnhead1" xfId="183"/>
    <cellStyle name="vnhead3" xfId="184"/>
    <cellStyle name="vntxt1" xfId="185"/>
    <cellStyle name="vntxt1 2" xfId="417"/>
    <cellStyle name="vntxt1 3" xfId="418"/>
    <cellStyle name="vntxt1 4" xfId="419"/>
    <cellStyle name="vntxt1_KHOILUONGCSDL 21-6-2016" xfId="452"/>
    <cellStyle name="vntxt2" xfId="186"/>
    <cellStyle name="Warning Text" xfId="187" builtinId="11" customBuiltin="1"/>
    <cellStyle name="Warning Text 2" xfId="188"/>
    <cellStyle name="Warning Text 3" xfId="420"/>
    <cellStyle name="Xấu" xfId="189"/>
    <cellStyle name="xuan" xfId="421"/>
    <cellStyle name=" [0.00]_ Att. 1- Cover" xfId="190"/>
    <cellStyle name="_ Att. 1- Cover" xfId="191"/>
    <cellStyle name="?_ Att. 1- Cover" xfId="192"/>
    <cellStyle name="똿뗦먛귟 [0.00]_PRODUCT DETAIL Q1" xfId="193"/>
    <cellStyle name="똿뗦먛귟_PRODUCT DETAIL Q1" xfId="194"/>
    <cellStyle name="믅됞 [0.00]_PRODUCT DETAIL Q1" xfId="195"/>
    <cellStyle name="믅됞_PRODUCT DETAIL Q1" xfId="196"/>
    <cellStyle name="백분율_95" xfId="197"/>
    <cellStyle name="뷭?_BOOKSHIP" xfId="198"/>
    <cellStyle name="콤마 [0]_1202" xfId="199"/>
    <cellStyle name="콤마_1202" xfId="200"/>
    <cellStyle name="통화 [0]_1202" xfId="201"/>
    <cellStyle name="통화_1202" xfId="202"/>
    <cellStyle name="표준_(정보부문)월별인원계획" xfId="203"/>
    <cellStyle name="一般_00Q3902REV.1" xfId="422"/>
    <cellStyle name="千分位[0]_00Q3902REV.1" xfId="423"/>
    <cellStyle name="千分位_00Q3902REV.1" xfId="424"/>
    <cellStyle name="貨幣 [0]_00Q3902REV.1" xfId="425"/>
    <cellStyle name="貨幣[0]_BRE" xfId="204"/>
    <cellStyle name="貨幣_00Q3902REV.1" xfId="42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11</xdr:col>
      <xdr:colOff>762000</xdr:colOff>
      <xdr:row>2</xdr:row>
      <xdr:rowOff>19050</xdr:rowOff>
    </xdr:from>
    <xdr:to>
      <xdr:col>13</xdr:col>
      <xdr:colOff>152400</xdr:colOff>
      <xdr:row>2</xdr:row>
      <xdr:rowOff>19050</xdr:rowOff>
    </xdr:to>
    <xdr:sp macro="" textlink="">
      <xdr:nvSpPr>
        <xdr:cNvPr id="2" name="Line 1"/>
        <xdr:cNvSpPr>
          <a:spLocks noChangeShapeType="1"/>
        </xdr:cNvSpPr>
      </xdr:nvSpPr>
      <xdr:spPr bwMode="auto">
        <a:xfrm>
          <a:off x="11601450" y="514350"/>
          <a:ext cx="1028700" cy="0"/>
        </a:xfrm>
        <a:prstGeom prst="line">
          <a:avLst/>
        </a:prstGeom>
        <a:noFill/>
        <a:ln w="9525">
          <a:solidFill>
            <a:srgbClr val="000000"/>
          </a:solidFill>
          <a:round/>
          <a:headEnd/>
          <a:tailEnd/>
        </a:ln>
      </xdr:spPr>
    </xdr:sp>
    <xdr:clientData/>
  </xdr:twoCellAnchor>
  <xdr:twoCellAnchor>
    <xdr:from>
      <xdr:col>17</xdr:col>
      <xdr:colOff>657225</xdr:colOff>
      <xdr:row>2</xdr:row>
      <xdr:rowOff>19050</xdr:rowOff>
    </xdr:from>
    <xdr:to>
      <xdr:col>21</xdr:col>
      <xdr:colOff>161925</xdr:colOff>
      <xdr:row>2</xdr:row>
      <xdr:rowOff>19050</xdr:rowOff>
    </xdr:to>
    <xdr:sp macro="" textlink="">
      <xdr:nvSpPr>
        <xdr:cNvPr id="3" name="Line 2"/>
        <xdr:cNvSpPr>
          <a:spLocks noChangeShapeType="1"/>
        </xdr:cNvSpPr>
      </xdr:nvSpPr>
      <xdr:spPr bwMode="auto">
        <a:xfrm>
          <a:off x="16316325" y="514350"/>
          <a:ext cx="240030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All/CSDL/Don%20Gia%202017/Don%20gia%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20Van%20Sang/Downloads/DM_CSDL_Chuy&#234;n%20&#273;&#7893;i_long%2006.7.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ON GIA SP"/>
      <sheetName val="NCII (BANG 3)"/>
      <sheetName val="NC TichHop (BANG6)"/>
      <sheetName val="DC I, II,II"/>
      <sheetName val="DC Tich Hơp"/>
      <sheetName val="TB I,II,III"/>
      <sheetName val="TB.Tich Hop"/>
      <sheetName val="TB  Cap nhat TX"/>
      <sheetName val="Vật liệu I, II, II, TICH HOP"/>
      <sheetName val="Vat lieu cap nhat TX"/>
      <sheetName val="Gia VT, TB"/>
      <sheetName val="ĐG tiền công"/>
      <sheetName val="Nan_WU"/>
    </sheetNames>
    <sheetDataSet>
      <sheetData sheetId="0">
        <row r="6">
          <cell r="J6">
            <v>702.84256162792826</v>
          </cell>
        </row>
        <row r="7">
          <cell r="J7">
            <v>4109.3585662680944</v>
          </cell>
        </row>
        <row r="8">
          <cell r="J8">
            <v>7335.9526575392465</v>
          </cell>
        </row>
        <row r="9">
          <cell r="J9">
            <v>7106.9598834274493</v>
          </cell>
        </row>
        <row r="12">
          <cell r="J12">
            <v>17192.807489179238</v>
          </cell>
        </row>
        <row r="19">
          <cell r="J19">
            <v>1815.3465779830422</v>
          </cell>
        </row>
        <row r="20">
          <cell r="J20">
            <v>3076.3062941150129</v>
          </cell>
        </row>
        <row r="21">
          <cell r="J21">
            <v>2220.1390863681818</v>
          </cell>
        </row>
        <row r="22">
          <cell r="J22">
            <v>1790.6677976010274</v>
          </cell>
        </row>
        <row r="23">
          <cell r="J23">
            <v>192.01281403074739</v>
          </cell>
        </row>
        <row r="24">
          <cell r="J24">
            <v>1286.2315868075607</v>
          </cell>
        </row>
      </sheetData>
      <sheetData sheetId="1" refreshError="1"/>
      <sheetData sheetId="2">
        <row r="4">
          <cell r="G4">
            <v>30655536.153846152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 chuyen doi DL"/>
      <sheetName val="VL chuyen doi DL"/>
      <sheetName val="TB chuyen doi DL"/>
      <sheetName val="DC chuyen doi DL"/>
      <sheetName val="Tbi"/>
      <sheetName val="VLieu"/>
      <sheetName val="L_CBac"/>
      <sheetName val="Gia_Dcu"/>
      <sheetName val="Gia_Tbi"/>
      <sheetName val="Gia_VLieu"/>
    </sheetNames>
    <sheetDataSet>
      <sheetData sheetId="0"/>
      <sheetData sheetId="1"/>
      <sheetData sheetId="2"/>
      <sheetData sheetId="3"/>
      <sheetData sheetId="4"/>
      <sheetData sheetId="5"/>
      <sheetData sheetId="6">
        <row r="38">
          <cell r="J38">
            <v>167119.61538461538</v>
          </cell>
        </row>
      </sheetData>
      <sheetData sheetId="7">
        <row r="6">
          <cell r="C6" t="str">
            <v>cái</v>
          </cell>
          <cell r="D6">
            <v>24</v>
          </cell>
          <cell r="F6">
            <v>21.634615384615383</v>
          </cell>
        </row>
        <row r="7">
          <cell r="C7" t="str">
            <v>cái</v>
          </cell>
          <cell r="D7">
            <v>60</v>
          </cell>
          <cell r="F7">
            <v>769.23076923076928</v>
          </cell>
        </row>
        <row r="8">
          <cell r="C8" t="str">
            <v>cái</v>
          </cell>
          <cell r="D8">
            <v>96</v>
          </cell>
          <cell r="F8">
            <v>140.22435897435898</v>
          </cell>
        </row>
        <row r="9">
          <cell r="C9" t="str">
            <v>cái</v>
          </cell>
          <cell r="D9">
            <v>96</v>
          </cell>
          <cell r="F9">
            <v>240.38461538461539</v>
          </cell>
        </row>
        <row r="10">
          <cell r="C10" t="str">
            <v>cái</v>
          </cell>
          <cell r="D10">
            <v>96</v>
          </cell>
          <cell r="F10">
            <v>200.32051282051282</v>
          </cell>
        </row>
        <row r="11">
          <cell r="C11" t="str">
            <v>cái</v>
          </cell>
          <cell r="D11">
            <v>24</v>
          </cell>
          <cell r="F11">
            <v>64.102564102564102</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M68"/>
  <sheetViews>
    <sheetView workbookViewId="0">
      <pane xSplit="3" ySplit="5" topLeftCell="D6" activePane="bottomRight" state="frozen"/>
      <selection activeCell="G5" sqref="G5"/>
      <selection pane="topRight" activeCell="G5" sqref="G5"/>
      <selection pane="bottomLeft" activeCell="G5" sqref="G5"/>
      <selection pane="bottomRight" activeCell="M38" sqref="M38"/>
    </sheetView>
  </sheetViews>
  <sheetFormatPr defaultColWidth="9" defaultRowHeight="15.75"/>
  <cols>
    <col min="1" max="1" width="5.875" style="3" customWidth="1"/>
    <col min="2" max="2" width="7" style="3" customWidth="1"/>
    <col min="3" max="3" width="8.375" style="3" customWidth="1"/>
    <col min="4" max="4" width="11" style="4" customWidth="1"/>
    <col min="5" max="5" width="9.125" style="4" hidden="1" customWidth="1"/>
    <col min="6" max="6" width="8.125" style="4" hidden="1" customWidth="1"/>
    <col min="7" max="7" width="10.5" style="4" customWidth="1"/>
    <col min="8" max="8" width="9" style="4" hidden="1" customWidth="1"/>
    <col min="9" max="9" width="10.125" style="4" customWidth="1"/>
    <col min="10" max="10" width="10" style="4" customWidth="1"/>
    <col min="11" max="11" width="11.5" style="4" customWidth="1"/>
    <col min="12" max="12" width="9" style="4"/>
    <col min="13" max="13" width="9.875" style="4" bestFit="1" customWidth="1"/>
    <col min="14" max="16384" width="9" style="4"/>
  </cols>
  <sheetData>
    <row r="1" spans="1:11" s="1" customFormat="1" ht="18.75">
      <c r="A1" s="1854" t="s">
        <v>1118</v>
      </c>
      <c r="B1" s="1854"/>
      <c r="C1" s="1854"/>
      <c r="D1" s="1854"/>
      <c r="E1" s="1854"/>
      <c r="F1" s="1854"/>
      <c r="G1" s="1854"/>
      <c r="H1" s="1854"/>
      <c r="I1" s="1854"/>
      <c r="J1" s="1854"/>
      <c r="K1" s="1854"/>
    </row>
    <row r="2" spans="1:11">
      <c r="A2" s="2"/>
    </row>
    <row r="3" spans="1:11" s="3" customFormat="1" ht="47.25">
      <c r="A3" s="309" t="s">
        <v>25</v>
      </c>
      <c r="B3" s="309" t="s">
        <v>30</v>
      </c>
      <c r="C3" s="316" t="s">
        <v>1116</v>
      </c>
      <c r="D3" s="309" t="s">
        <v>31</v>
      </c>
      <c r="E3" s="309" t="s">
        <v>33</v>
      </c>
      <c r="F3" s="316" t="s">
        <v>1099</v>
      </c>
      <c r="G3" s="309" t="s">
        <v>13</v>
      </c>
      <c r="H3" s="316" t="s">
        <v>41</v>
      </c>
      <c r="I3" s="316" t="s">
        <v>1098</v>
      </c>
      <c r="J3" s="309" t="s">
        <v>35</v>
      </c>
      <c r="K3" s="309" t="s">
        <v>34</v>
      </c>
    </row>
    <row r="4" spans="1:11" s="3" customFormat="1">
      <c r="A4" s="1650" t="s">
        <v>9</v>
      </c>
      <c r="B4" s="1650"/>
      <c r="C4" s="1650"/>
      <c r="D4" s="1651">
        <v>1490000</v>
      </c>
      <c r="E4" s="1652">
        <v>0</v>
      </c>
      <c r="F4" s="1650">
        <v>0.4</v>
      </c>
      <c r="G4" s="1650" t="s">
        <v>1139</v>
      </c>
      <c r="H4" s="1650" t="s">
        <v>42</v>
      </c>
      <c r="I4" s="1653">
        <v>0.23499999999999999</v>
      </c>
      <c r="J4" s="1650"/>
      <c r="K4" s="1650" t="s">
        <v>49</v>
      </c>
    </row>
    <row r="5" spans="1:11" s="3" customFormat="1">
      <c r="A5" s="1650"/>
      <c r="B5" s="1650"/>
      <c r="C5" s="1650"/>
      <c r="D5" s="1650"/>
      <c r="E5" s="1650" t="s">
        <v>32</v>
      </c>
      <c r="F5" s="1650"/>
      <c r="G5" s="1650">
        <f>0.1/5</f>
        <v>0.02</v>
      </c>
      <c r="H5" s="1650"/>
      <c r="I5" s="1650" t="s">
        <v>36</v>
      </c>
      <c r="J5" s="1650"/>
      <c r="K5" s="1650">
        <v>26</v>
      </c>
    </row>
    <row r="6" spans="1:11" hidden="1">
      <c r="A6" s="1825" t="s">
        <v>37</v>
      </c>
      <c r="B6" s="1620"/>
      <c r="C6" s="1621"/>
      <c r="D6" s="1622"/>
      <c r="E6" s="1622"/>
      <c r="F6" s="1622"/>
      <c r="G6" s="1622"/>
      <c r="H6" s="1622"/>
      <c r="I6" s="1622"/>
      <c r="J6" s="1622"/>
      <c r="K6" s="1622"/>
    </row>
    <row r="7" spans="1:11" hidden="1">
      <c r="A7" s="1623" t="s">
        <v>10</v>
      </c>
      <c r="B7" s="1623" t="s">
        <v>47</v>
      </c>
      <c r="C7" s="1624"/>
      <c r="D7" s="1625"/>
      <c r="E7" s="1625"/>
      <c r="F7" s="1625"/>
      <c r="G7" s="1625"/>
      <c r="H7" s="1625"/>
      <c r="I7" s="1625"/>
      <c r="J7" s="1625"/>
      <c r="K7" s="1628"/>
    </row>
    <row r="8" spans="1:11" hidden="1">
      <c r="A8" s="1626"/>
      <c r="B8" s="1626">
        <v>1</v>
      </c>
      <c r="C8" s="1626">
        <v>2.34</v>
      </c>
      <c r="D8" s="1627">
        <f t="shared" ref="D8:D15" si="0">C8*$D$4</f>
        <v>3486600</v>
      </c>
      <c r="E8" s="1627">
        <f t="shared" ref="E8:E15" si="1">D8*$E$4</f>
        <v>0</v>
      </c>
      <c r="F8" s="1627">
        <f>$D$4*$F$4</f>
        <v>596000</v>
      </c>
      <c r="G8" s="1628">
        <f t="shared" ref="G8:G15" si="2">$D$4*$G$5</f>
        <v>29800</v>
      </c>
      <c r="H8" s="1628"/>
      <c r="I8" s="1628">
        <f t="shared" ref="I8:I15" si="3">D8*$I$4</f>
        <v>819351</v>
      </c>
      <c r="J8" s="1628">
        <f t="shared" ref="J8:J15" si="4">SUM(D8:I8)</f>
        <v>4931751</v>
      </c>
      <c r="K8" s="1628">
        <f>J8/K$5</f>
        <v>189682.73076923078</v>
      </c>
    </row>
    <row r="9" spans="1:11" hidden="1">
      <c r="A9" s="1626"/>
      <c r="B9" s="1626">
        <v>2</v>
      </c>
      <c r="C9" s="1629">
        <f>C8+0.33</f>
        <v>2.67</v>
      </c>
      <c r="D9" s="1627">
        <f t="shared" si="0"/>
        <v>3978300</v>
      </c>
      <c r="E9" s="1627">
        <f t="shared" si="1"/>
        <v>0</v>
      </c>
      <c r="F9" s="1627">
        <f t="shared" ref="F9:F33" si="5">$D$4*$F$4</f>
        <v>596000</v>
      </c>
      <c r="G9" s="1628">
        <f t="shared" si="2"/>
        <v>29800</v>
      </c>
      <c r="H9" s="1628"/>
      <c r="I9" s="1628">
        <f t="shared" si="3"/>
        <v>934900.5</v>
      </c>
      <c r="J9" s="1628">
        <f t="shared" si="4"/>
        <v>5539000.5</v>
      </c>
      <c r="K9" s="1628">
        <f t="shared" ref="K9:K15" si="6">J9/K$5</f>
        <v>213038.48076923078</v>
      </c>
    </row>
    <row r="10" spans="1:11" hidden="1">
      <c r="A10" s="1626"/>
      <c r="B10" s="1626">
        <v>3</v>
      </c>
      <c r="C10" s="1629">
        <f t="shared" ref="C10:C15" si="7">C9+0.33</f>
        <v>3</v>
      </c>
      <c r="D10" s="1627">
        <f t="shared" si="0"/>
        <v>4470000</v>
      </c>
      <c r="E10" s="1627">
        <f t="shared" si="1"/>
        <v>0</v>
      </c>
      <c r="F10" s="1627">
        <f t="shared" si="5"/>
        <v>596000</v>
      </c>
      <c r="G10" s="1628">
        <f t="shared" si="2"/>
        <v>29800</v>
      </c>
      <c r="H10" s="1628"/>
      <c r="I10" s="1628">
        <f t="shared" si="3"/>
        <v>1050450</v>
      </c>
      <c r="J10" s="1628">
        <f t="shared" si="4"/>
        <v>6146250</v>
      </c>
      <c r="K10" s="1628">
        <f t="shared" si="6"/>
        <v>236394.23076923078</v>
      </c>
    </row>
    <row r="11" spans="1:11" hidden="1">
      <c r="A11" s="1626"/>
      <c r="B11" s="1626">
        <v>4</v>
      </c>
      <c r="C11" s="1629">
        <f t="shared" si="7"/>
        <v>3.33</v>
      </c>
      <c r="D11" s="1627">
        <f t="shared" si="0"/>
        <v>4961700</v>
      </c>
      <c r="E11" s="1627">
        <f t="shared" si="1"/>
        <v>0</v>
      </c>
      <c r="F11" s="1627">
        <f t="shared" si="5"/>
        <v>596000</v>
      </c>
      <c r="G11" s="1628">
        <f t="shared" si="2"/>
        <v>29800</v>
      </c>
      <c r="H11" s="1628"/>
      <c r="I11" s="1628">
        <f t="shared" si="3"/>
        <v>1165999.5</v>
      </c>
      <c r="J11" s="1628">
        <f t="shared" si="4"/>
        <v>6753499.5</v>
      </c>
      <c r="K11" s="1628">
        <f t="shared" si="6"/>
        <v>259749.98076923078</v>
      </c>
    </row>
    <row r="12" spans="1:11" hidden="1">
      <c r="A12" s="1626"/>
      <c r="B12" s="1626">
        <v>5</v>
      </c>
      <c r="C12" s="1629">
        <f t="shared" si="7"/>
        <v>3.66</v>
      </c>
      <c r="D12" s="1627">
        <f t="shared" si="0"/>
        <v>5453400</v>
      </c>
      <c r="E12" s="1627">
        <f t="shared" si="1"/>
        <v>0</v>
      </c>
      <c r="F12" s="1627">
        <f t="shared" si="5"/>
        <v>596000</v>
      </c>
      <c r="G12" s="1628">
        <f t="shared" si="2"/>
        <v>29800</v>
      </c>
      <c r="H12" s="1628"/>
      <c r="I12" s="1628">
        <f t="shared" si="3"/>
        <v>1281549</v>
      </c>
      <c r="J12" s="1628">
        <f t="shared" si="4"/>
        <v>7360749</v>
      </c>
      <c r="K12" s="1628">
        <f t="shared" si="6"/>
        <v>283105.73076923075</v>
      </c>
    </row>
    <row r="13" spans="1:11" hidden="1">
      <c r="A13" s="1626"/>
      <c r="B13" s="1626">
        <v>6</v>
      </c>
      <c r="C13" s="1629">
        <f t="shared" si="7"/>
        <v>3.99</v>
      </c>
      <c r="D13" s="1627">
        <f t="shared" si="0"/>
        <v>5945100</v>
      </c>
      <c r="E13" s="1627">
        <f t="shared" si="1"/>
        <v>0</v>
      </c>
      <c r="F13" s="1627">
        <f t="shared" si="5"/>
        <v>596000</v>
      </c>
      <c r="G13" s="1628">
        <f t="shared" si="2"/>
        <v>29800</v>
      </c>
      <c r="H13" s="1628"/>
      <c r="I13" s="1628">
        <f t="shared" si="3"/>
        <v>1397098.5</v>
      </c>
      <c r="J13" s="1628">
        <f t="shared" si="4"/>
        <v>7967998.5</v>
      </c>
      <c r="K13" s="1628">
        <f t="shared" si="6"/>
        <v>306461.48076923075</v>
      </c>
    </row>
    <row r="14" spans="1:11" hidden="1">
      <c r="A14" s="1626"/>
      <c r="B14" s="1626">
        <v>7</v>
      </c>
      <c r="C14" s="1629">
        <f t="shared" si="7"/>
        <v>4.32</v>
      </c>
      <c r="D14" s="1627">
        <f t="shared" si="0"/>
        <v>6436800</v>
      </c>
      <c r="E14" s="1627">
        <f t="shared" si="1"/>
        <v>0</v>
      </c>
      <c r="F14" s="1627">
        <f t="shared" si="5"/>
        <v>596000</v>
      </c>
      <c r="G14" s="1628">
        <f t="shared" si="2"/>
        <v>29800</v>
      </c>
      <c r="H14" s="1628"/>
      <c r="I14" s="1628">
        <f t="shared" si="3"/>
        <v>1512648</v>
      </c>
      <c r="J14" s="1628">
        <f t="shared" si="4"/>
        <v>8575248</v>
      </c>
      <c r="K14" s="1628">
        <f t="shared" si="6"/>
        <v>329817.23076923075</v>
      </c>
    </row>
    <row r="15" spans="1:11" hidden="1">
      <c r="A15" s="1626"/>
      <c r="B15" s="1626">
        <v>8</v>
      </c>
      <c r="C15" s="1629">
        <f t="shared" si="7"/>
        <v>4.6500000000000004</v>
      </c>
      <c r="D15" s="1627">
        <f t="shared" si="0"/>
        <v>6928500.0000000009</v>
      </c>
      <c r="E15" s="1627">
        <f t="shared" si="1"/>
        <v>0</v>
      </c>
      <c r="F15" s="1627">
        <f t="shared" si="5"/>
        <v>596000</v>
      </c>
      <c r="G15" s="1628">
        <f t="shared" si="2"/>
        <v>29800</v>
      </c>
      <c r="H15" s="1628"/>
      <c r="I15" s="1628">
        <f t="shared" si="3"/>
        <v>1628197.5000000002</v>
      </c>
      <c r="J15" s="1628">
        <f t="shared" si="4"/>
        <v>9182497.5000000019</v>
      </c>
      <c r="K15" s="1628">
        <f t="shared" si="6"/>
        <v>353172.98076923087</v>
      </c>
    </row>
    <row r="16" spans="1:11" hidden="1">
      <c r="A16" s="1623" t="s">
        <v>11</v>
      </c>
      <c r="B16" s="1630" t="s">
        <v>43</v>
      </c>
      <c r="C16" s="1629"/>
      <c r="D16" s="1627"/>
      <c r="E16" s="1627"/>
      <c r="F16" s="1627"/>
      <c r="G16" s="1628"/>
      <c r="H16" s="1628"/>
      <c r="I16" s="1628"/>
      <c r="J16" s="1628"/>
      <c r="K16" s="1628"/>
    </row>
    <row r="17" spans="1:11" hidden="1">
      <c r="A17" s="1626"/>
      <c r="B17" s="1626">
        <v>1</v>
      </c>
      <c r="C17" s="1629">
        <f>+C18-0.2</f>
        <v>1.8599999999999997</v>
      </c>
      <c r="D17" s="1627">
        <f t="shared" ref="D17:D28" si="8">C17*$D$4</f>
        <v>2771399.9999999995</v>
      </c>
      <c r="E17" s="1627">
        <f t="shared" ref="E17:E28" si="9">D17*$E$4</f>
        <v>0</v>
      </c>
      <c r="F17" s="1627">
        <f t="shared" si="5"/>
        <v>596000</v>
      </c>
      <c r="G17" s="1628">
        <f t="shared" ref="G17:G28" si="10">$D$4*$G$5</f>
        <v>29800</v>
      </c>
      <c r="H17" s="1628"/>
      <c r="I17" s="1628">
        <f t="shared" ref="I17:I28" si="11">D17*$I$4</f>
        <v>651278.99999999988</v>
      </c>
      <c r="J17" s="1628">
        <f t="shared" ref="J17:J28" si="12">SUM(D17:I17)</f>
        <v>4048478.9999999995</v>
      </c>
      <c r="K17" s="1628">
        <f>J17/K$5</f>
        <v>155710.73076923075</v>
      </c>
    </row>
    <row r="18" spans="1:11" hidden="1">
      <c r="A18" s="1626"/>
      <c r="B18" s="1626">
        <v>2</v>
      </c>
      <c r="C18" s="1629">
        <f>+C19-0.2</f>
        <v>2.0599999999999996</v>
      </c>
      <c r="D18" s="1627">
        <f t="shared" si="8"/>
        <v>3069399.9999999995</v>
      </c>
      <c r="E18" s="1627">
        <f t="shared" si="9"/>
        <v>0</v>
      </c>
      <c r="F18" s="1627">
        <f t="shared" si="5"/>
        <v>596000</v>
      </c>
      <c r="G18" s="1628">
        <f t="shared" si="10"/>
        <v>29800</v>
      </c>
      <c r="H18" s="1628"/>
      <c r="I18" s="1628">
        <f t="shared" si="11"/>
        <v>721308.99999999988</v>
      </c>
      <c r="J18" s="1628">
        <f t="shared" si="12"/>
        <v>4416508.9999999991</v>
      </c>
      <c r="K18" s="1628">
        <f>J18/K$5</f>
        <v>169865.73076923072</v>
      </c>
    </row>
    <row r="19" spans="1:11" hidden="1">
      <c r="A19" s="1626"/>
      <c r="B19" s="1626">
        <v>3</v>
      </c>
      <c r="C19" s="1629">
        <v>2.2599999999999998</v>
      </c>
      <c r="D19" s="1627">
        <f t="shared" si="8"/>
        <v>3367399.9999999995</v>
      </c>
      <c r="E19" s="1627">
        <f t="shared" si="9"/>
        <v>0</v>
      </c>
      <c r="F19" s="1627">
        <f t="shared" si="5"/>
        <v>596000</v>
      </c>
      <c r="G19" s="1628">
        <f t="shared" si="10"/>
        <v>29800</v>
      </c>
      <c r="H19" s="1628"/>
      <c r="I19" s="1628">
        <f t="shared" si="11"/>
        <v>791338.99999999988</v>
      </c>
      <c r="J19" s="1628">
        <f t="shared" si="12"/>
        <v>4784538.9999999991</v>
      </c>
      <c r="K19" s="1628">
        <f>J19/K$5</f>
        <v>184020.73076923072</v>
      </c>
    </row>
    <row r="20" spans="1:11" hidden="1">
      <c r="A20" s="1626"/>
      <c r="B20" s="1626">
        <v>4</v>
      </c>
      <c r="C20" s="1629">
        <f>+C19+0.2</f>
        <v>2.46</v>
      </c>
      <c r="D20" s="1627">
        <f t="shared" si="8"/>
        <v>3665400</v>
      </c>
      <c r="E20" s="1627">
        <f t="shared" si="9"/>
        <v>0</v>
      </c>
      <c r="F20" s="1627">
        <f t="shared" si="5"/>
        <v>596000</v>
      </c>
      <c r="G20" s="1628">
        <f t="shared" si="10"/>
        <v>29800</v>
      </c>
      <c r="H20" s="1628"/>
      <c r="I20" s="1628">
        <f t="shared" si="11"/>
        <v>861369</v>
      </c>
      <c r="J20" s="1628">
        <f t="shared" si="12"/>
        <v>5152569</v>
      </c>
      <c r="K20" s="1628">
        <f>J20/K$5</f>
        <v>198175.73076923078</v>
      </c>
    </row>
    <row r="21" spans="1:11" hidden="1">
      <c r="A21" s="1626"/>
      <c r="B21" s="1626">
        <v>5</v>
      </c>
      <c r="C21" s="1629">
        <f>+C20+0.2</f>
        <v>2.66</v>
      </c>
      <c r="D21" s="1627">
        <f t="shared" si="8"/>
        <v>3963400</v>
      </c>
      <c r="E21" s="1627">
        <f t="shared" si="9"/>
        <v>0</v>
      </c>
      <c r="F21" s="1627">
        <f t="shared" si="5"/>
        <v>596000</v>
      </c>
      <c r="G21" s="1628">
        <f t="shared" si="10"/>
        <v>29800</v>
      </c>
      <c r="H21" s="1628"/>
      <c r="I21" s="1628">
        <f t="shared" si="11"/>
        <v>931399</v>
      </c>
      <c r="J21" s="1628">
        <f t="shared" si="12"/>
        <v>5520599</v>
      </c>
      <c r="K21" s="1628">
        <f t="shared" ref="K21:K65" si="13">J21/K$5</f>
        <v>212330.73076923078</v>
      </c>
    </row>
    <row r="22" spans="1:11" hidden="1">
      <c r="A22" s="1626"/>
      <c r="B22" s="1626">
        <v>6</v>
      </c>
      <c r="C22" s="1629">
        <f>+C21+0.2</f>
        <v>2.8600000000000003</v>
      </c>
      <c r="D22" s="1627">
        <f t="shared" si="8"/>
        <v>4261400.0000000009</v>
      </c>
      <c r="E22" s="1627">
        <f t="shared" si="9"/>
        <v>0</v>
      </c>
      <c r="F22" s="1627">
        <f t="shared" si="5"/>
        <v>596000</v>
      </c>
      <c r="G22" s="1628">
        <f t="shared" si="10"/>
        <v>29800</v>
      </c>
      <c r="H22" s="1628"/>
      <c r="I22" s="1628">
        <f t="shared" si="11"/>
        <v>1001429.0000000001</v>
      </c>
      <c r="J22" s="1628">
        <f t="shared" si="12"/>
        <v>5888629.0000000009</v>
      </c>
      <c r="K22" s="1628">
        <f t="shared" si="13"/>
        <v>226485.73076923081</v>
      </c>
    </row>
    <row r="23" spans="1:11" hidden="1">
      <c r="A23" s="1626"/>
      <c r="B23" s="1626">
        <v>7</v>
      </c>
      <c r="C23" s="1629">
        <f t="shared" ref="C23:C28" si="14">+C22+0.2</f>
        <v>3.0600000000000005</v>
      </c>
      <c r="D23" s="1627">
        <f t="shared" si="8"/>
        <v>4559400.0000000009</v>
      </c>
      <c r="E23" s="1627">
        <f t="shared" si="9"/>
        <v>0</v>
      </c>
      <c r="F23" s="1627">
        <f t="shared" si="5"/>
        <v>596000</v>
      </c>
      <c r="G23" s="1628">
        <f t="shared" si="10"/>
        <v>29800</v>
      </c>
      <c r="H23" s="1628"/>
      <c r="I23" s="1628">
        <f t="shared" si="11"/>
        <v>1071459.0000000002</v>
      </c>
      <c r="J23" s="1628">
        <f t="shared" si="12"/>
        <v>6256659.0000000009</v>
      </c>
      <c r="K23" s="1628">
        <f t="shared" ref="K23:K28" si="15">J23/K$5</f>
        <v>240640.73076923081</v>
      </c>
    </row>
    <row r="24" spans="1:11" hidden="1">
      <c r="A24" s="1626"/>
      <c r="B24" s="1626">
        <v>8</v>
      </c>
      <c r="C24" s="1629">
        <f t="shared" si="14"/>
        <v>3.2600000000000007</v>
      </c>
      <c r="D24" s="1627">
        <f t="shared" si="8"/>
        <v>4857400.0000000009</v>
      </c>
      <c r="E24" s="1627">
        <f t="shared" si="9"/>
        <v>0</v>
      </c>
      <c r="F24" s="1627">
        <f t="shared" si="5"/>
        <v>596000</v>
      </c>
      <c r="G24" s="1628">
        <f t="shared" si="10"/>
        <v>29800</v>
      </c>
      <c r="H24" s="1628"/>
      <c r="I24" s="1628">
        <f t="shared" si="11"/>
        <v>1141489.0000000002</v>
      </c>
      <c r="J24" s="1628">
        <f t="shared" si="12"/>
        <v>6624689.0000000009</v>
      </c>
      <c r="K24" s="1628">
        <f t="shared" si="15"/>
        <v>254795.73076923081</v>
      </c>
    </row>
    <row r="25" spans="1:11" hidden="1">
      <c r="A25" s="1626"/>
      <c r="B25" s="1626">
        <v>9</v>
      </c>
      <c r="C25" s="1629">
        <f t="shared" si="14"/>
        <v>3.4600000000000009</v>
      </c>
      <c r="D25" s="1627">
        <f t="shared" si="8"/>
        <v>5155400.0000000009</v>
      </c>
      <c r="E25" s="1627">
        <f t="shared" si="9"/>
        <v>0</v>
      </c>
      <c r="F25" s="1627">
        <f t="shared" si="5"/>
        <v>596000</v>
      </c>
      <c r="G25" s="1628">
        <f t="shared" si="10"/>
        <v>29800</v>
      </c>
      <c r="H25" s="1628"/>
      <c r="I25" s="1628">
        <f t="shared" si="11"/>
        <v>1211519.0000000002</v>
      </c>
      <c r="J25" s="1628">
        <f t="shared" si="12"/>
        <v>6992719.0000000009</v>
      </c>
      <c r="K25" s="1628">
        <f t="shared" si="15"/>
        <v>268950.73076923081</v>
      </c>
    </row>
    <row r="26" spans="1:11" hidden="1">
      <c r="A26" s="1626"/>
      <c r="B26" s="1626">
        <v>10</v>
      </c>
      <c r="C26" s="1629">
        <f t="shared" si="14"/>
        <v>3.660000000000001</v>
      </c>
      <c r="D26" s="1627">
        <f t="shared" si="8"/>
        <v>5453400.0000000019</v>
      </c>
      <c r="E26" s="1627">
        <f t="shared" si="9"/>
        <v>0</v>
      </c>
      <c r="F26" s="1627">
        <f t="shared" si="5"/>
        <v>596000</v>
      </c>
      <c r="G26" s="1628">
        <f t="shared" si="10"/>
        <v>29800</v>
      </c>
      <c r="H26" s="1628"/>
      <c r="I26" s="1628">
        <f t="shared" si="11"/>
        <v>1281549.0000000005</v>
      </c>
      <c r="J26" s="1628">
        <f t="shared" si="12"/>
        <v>7360749.0000000019</v>
      </c>
      <c r="K26" s="1628">
        <f t="shared" si="15"/>
        <v>283105.73076923087</v>
      </c>
    </row>
    <row r="27" spans="1:11" hidden="1">
      <c r="A27" s="1626"/>
      <c r="B27" s="1626">
        <v>11</v>
      </c>
      <c r="C27" s="1629">
        <f t="shared" si="14"/>
        <v>3.8600000000000012</v>
      </c>
      <c r="D27" s="1627">
        <f t="shared" si="8"/>
        <v>5751400.0000000019</v>
      </c>
      <c r="E27" s="1627">
        <f t="shared" si="9"/>
        <v>0</v>
      </c>
      <c r="F27" s="1627">
        <f t="shared" si="5"/>
        <v>596000</v>
      </c>
      <c r="G27" s="1628">
        <f t="shared" si="10"/>
        <v>29800</v>
      </c>
      <c r="H27" s="1628"/>
      <c r="I27" s="1628">
        <f t="shared" si="11"/>
        <v>1351579.0000000005</v>
      </c>
      <c r="J27" s="1628">
        <f t="shared" si="12"/>
        <v>7728779.0000000019</v>
      </c>
      <c r="K27" s="1628">
        <f t="shared" si="15"/>
        <v>297260.73076923087</v>
      </c>
    </row>
    <row r="28" spans="1:11" hidden="1">
      <c r="A28" s="1626"/>
      <c r="B28" s="1626">
        <v>12</v>
      </c>
      <c r="C28" s="1629">
        <f t="shared" si="14"/>
        <v>4.0600000000000014</v>
      </c>
      <c r="D28" s="1627">
        <f t="shared" si="8"/>
        <v>6049400.0000000019</v>
      </c>
      <c r="E28" s="1627">
        <f t="shared" si="9"/>
        <v>0</v>
      </c>
      <c r="F28" s="1627">
        <f t="shared" si="5"/>
        <v>596000</v>
      </c>
      <c r="G28" s="1628">
        <f t="shared" si="10"/>
        <v>29800</v>
      </c>
      <c r="H28" s="1628"/>
      <c r="I28" s="1628">
        <f t="shared" si="11"/>
        <v>1421609.0000000005</v>
      </c>
      <c r="J28" s="1628">
        <f t="shared" si="12"/>
        <v>8096809.0000000019</v>
      </c>
      <c r="K28" s="1628">
        <f t="shared" si="15"/>
        <v>311415.73076923087</v>
      </c>
    </row>
    <row r="29" spans="1:11" hidden="1">
      <c r="A29" s="1623" t="s">
        <v>12</v>
      </c>
      <c r="B29" s="1630" t="s">
        <v>59</v>
      </c>
      <c r="C29" s="1631"/>
      <c r="D29" s="1627"/>
      <c r="E29" s="1627"/>
      <c r="F29" s="1627"/>
      <c r="G29" s="1628"/>
      <c r="H29" s="1628"/>
      <c r="I29" s="1628"/>
      <c r="J29" s="1628"/>
      <c r="K29" s="1628"/>
    </row>
    <row r="30" spans="1:11" hidden="1">
      <c r="A30" s="1626"/>
      <c r="B30" s="1626">
        <v>1</v>
      </c>
      <c r="C30" s="1629">
        <v>2.0499999999999998</v>
      </c>
      <c r="D30" s="1627">
        <f>C30*$D$4</f>
        <v>3054499.9999999995</v>
      </c>
      <c r="E30" s="1627">
        <f>D30*$E$4</f>
        <v>0</v>
      </c>
      <c r="F30" s="1627">
        <f t="shared" si="5"/>
        <v>596000</v>
      </c>
      <c r="G30" s="1628"/>
      <c r="H30" s="1628"/>
      <c r="I30" s="1628">
        <f>D30*$I$4</f>
        <v>717807.49999999988</v>
      </c>
      <c r="J30" s="1628">
        <f>SUM(D30:I30)</f>
        <v>4368307.4999999991</v>
      </c>
      <c r="K30" s="1628">
        <f>J30/K$5</f>
        <v>168011.82692307688</v>
      </c>
    </row>
    <row r="31" spans="1:11" hidden="1">
      <c r="A31" s="1626"/>
      <c r="B31" s="1626">
        <v>2</v>
      </c>
      <c r="C31" s="1629">
        <v>2.23</v>
      </c>
      <c r="D31" s="1627">
        <f>C31*$D$4</f>
        <v>3322700</v>
      </c>
      <c r="E31" s="1627">
        <f>D31*$E$4</f>
        <v>0</v>
      </c>
      <c r="F31" s="1627">
        <f t="shared" si="5"/>
        <v>596000</v>
      </c>
      <c r="G31" s="1628"/>
      <c r="H31" s="1628"/>
      <c r="I31" s="1628">
        <f>D31*$I$4</f>
        <v>780834.5</v>
      </c>
      <c r="J31" s="1628">
        <f>SUM(D31:I31)</f>
        <v>4699534.5</v>
      </c>
      <c r="K31" s="1628">
        <f>J31/K$5</f>
        <v>180751.32692307694</v>
      </c>
    </row>
    <row r="32" spans="1:11" hidden="1">
      <c r="A32" s="1626"/>
      <c r="B32" s="1626">
        <v>3</v>
      </c>
      <c r="C32" s="1629">
        <v>2.41</v>
      </c>
      <c r="D32" s="1627">
        <f>C32*$D$4</f>
        <v>3590900</v>
      </c>
      <c r="E32" s="1627">
        <f>D32*$E$4</f>
        <v>0</v>
      </c>
      <c r="F32" s="1627">
        <f t="shared" si="5"/>
        <v>596000</v>
      </c>
      <c r="G32" s="1628"/>
      <c r="H32" s="1628"/>
      <c r="I32" s="1628">
        <f>D32*$I$4</f>
        <v>843861.5</v>
      </c>
      <c r="J32" s="1628">
        <f>SUM(D32:I32)</f>
        <v>5030761.5</v>
      </c>
      <c r="K32" s="1628">
        <f>J32/K$5</f>
        <v>193490.82692307694</v>
      </c>
    </row>
    <row r="33" spans="1:13" hidden="1">
      <c r="A33" s="1626"/>
      <c r="B33" s="1626">
        <v>4</v>
      </c>
      <c r="C33" s="1629">
        <v>2.59</v>
      </c>
      <c r="D33" s="1627">
        <f>C33*$D$4</f>
        <v>3859100</v>
      </c>
      <c r="E33" s="1627">
        <f>D33*$E$4</f>
        <v>0</v>
      </c>
      <c r="F33" s="1627">
        <f t="shared" si="5"/>
        <v>596000</v>
      </c>
      <c r="G33" s="1628"/>
      <c r="H33" s="1628"/>
      <c r="I33" s="1628">
        <f>D33*$I$4</f>
        <v>906888.5</v>
      </c>
      <c r="J33" s="1628">
        <f>SUM(D33:I33)</f>
        <v>5361988.5</v>
      </c>
      <c r="K33" s="1628">
        <f>J33/K$5</f>
        <v>206230.32692307694</v>
      </c>
    </row>
    <row r="34" spans="1:13">
      <c r="A34" s="1826" t="s">
        <v>1117</v>
      </c>
      <c r="B34" s="1827"/>
      <c r="C34" s="1633"/>
      <c r="D34" s="1634"/>
      <c r="E34" s="1634"/>
      <c r="F34" s="1634"/>
      <c r="G34" s="1634"/>
      <c r="H34" s="1634"/>
      <c r="I34" s="1635"/>
      <c r="J34" s="1635"/>
      <c r="K34" s="1634"/>
    </row>
    <row r="35" spans="1:13">
      <c r="A35" s="1623" t="s">
        <v>10</v>
      </c>
      <c r="B35" s="1623" t="s">
        <v>47</v>
      </c>
      <c r="C35" s="1636"/>
      <c r="D35" s="1625"/>
      <c r="E35" s="1625"/>
      <c r="F35" s="1625"/>
      <c r="G35" s="1625"/>
      <c r="H35" s="1625"/>
      <c r="I35" s="1625"/>
      <c r="J35" s="1625"/>
      <c r="K35" s="1628"/>
    </row>
    <row r="36" spans="1:13">
      <c r="A36" s="1626"/>
      <c r="B36" s="1626">
        <v>1</v>
      </c>
      <c r="C36" s="1626">
        <v>2.34</v>
      </c>
      <c r="D36" s="1627">
        <f t="shared" ref="D36:D41" si="16">C36*$D$4</f>
        <v>3486600</v>
      </c>
      <c r="E36" s="1627">
        <f t="shared" ref="E36:E41" si="17">D36*$E$4</f>
        <v>0</v>
      </c>
      <c r="F36" s="1627"/>
      <c r="G36" s="1628">
        <f t="shared" ref="G36:G43" si="18">$D$4*$G$5</f>
        <v>29800</v>
      </c>
      <c r="H36" s="1628"/>
      <c r="I36" s="1628">
        <f>D36*$I$4</f>
        <v>819351</v>
      </c>
      <c r="J36" s="1628">
        <f>SUM(D36:I36)</f>
        <v>4335751</v>
      </c>
      <c r="K36" s="1628">
        <f>J36/K$5</f>
        <v>166759.65384615384</v>
      </c>
    </row>
    <row r="37" spans="1:13">
      <c r="A37" s="1626"/>
      <c r="B37" s="1626">
        <v>2</v>
      </c>
      <c r="C37" s="1629">
        <f>+C36+0.33</f>
        <v>2.67</v>
      </c>
      <c r="D37" s="1627">
        <f t="shared" si="16"/>
        <v>3978300</v>
      </c>
      <c r="E37" s="1627">
        <f t="shared" si="17"/>
        <v>0</v>
      </c>
      <c r="F37" s="1627"/>
      <c r="G37" s="1628">
        <f t="shared" si="18"/>
        <v>29800</v>
      </c>
      <c r="H37" s="1628"/>
      <c r="I37" s="1628">
        <f t="shared" ref="I37:I41" si="19">D37*$I$4</f>
        <v>934900.5</v>
      </c>
      <c r="J37" s="1628">
        <f t="shared" ref="J37:J41" si="20">SUM(D37:I37)</f>
        <v>4943000.5</v>
      </c>
      <c r="K37" s="1628">
        <f t="shared" ref="K37:K43" si="21">J37/K$5</f>
        <v>190115.40384615384</v>
      </c>
    </row>
    <row r="38" spans="1:13">
      <c r="A38" s="1626"/>
      <c r="B38" s="1626">
        <v>3</v>
      </c>
      <c r="C38" s="1629">
        <f t="shared" ref="C38:C43" si="22">+C37+0.33</f>
        <v>3</v>
      </c>
      <c r="D38" s="1627">
        <f t="shared" si="16"/>
        <v>4470000</v>
      </c>
      <c r="E38" s="1627">
        <f t="shared" si="17"/>
        <v>0</v>
      </c>
      <c r="F38" s="1627"/>
      <c r="G38" s="1628">
        <f t="shared" si="18"/>
        <v>29800</v>
      </c>
      <c r="H38" s="1628"/>
      <c r="I38" s="1628">
        <f t="shared" si="19"/>
        <v>1050450</v>
      </c>
      <c r="J38" s="1628">
        <f t="shared" si="20"/>
        <v>5550250</v>
      </c>
      <c r="K38" s="1628">
        <f t="shared" si="21"/>
        <v>213471.15384615384</v>
      </c>
    </row>
    <row r="39" spans="1:13">
      <c r="A39" s="1626"/>
      <c r="B39" s="1626">
        <v>4</v>
      </c>
      <c r="C39" s="1629">
        <f t="shared" si="22"/>
        <v>3.33</v>
      </c>
      <c r="D39" s="1627">
        <f t="shared" si="16"/>
        <v>4961700</v>
      </c>
      <c r="E39" s="1627">
        <f t="shared" si="17"/>
        <v>0</v>
      </c>
      <c r="F39" s="1627"/>
      <c r="G39" s="1628">
        <f t="shared" si="18"/>
        <v>29800</v>
      </c>
      <c r="H39" s="1628"/>
      <c r="I39" s="1628">
        <f t="shared" si="19"/>
        <v>1165999.5</v>
      </c>
      <c r="J39" s="1628">
        <f t="shared" si="20"/>
        <v>6157499.5</v>
      </c>
      <c r="K39" s="1628">
        <f t="shared" si="21"/>
        <v>236826.90384615384</v>
      </c>
      <c r="M39" s="372"/>
    </row>
    <row r="40" spans="1:13">
      <c r="A40" s="1626"/>
      <c r="B40" s="1626">
        <v>5</v>
      </c>
      <c r="C40" s="1629">
        <f t="shared" si="22"/>
        <v>3.66</v>
      </c>
      <c r="D40" s="1627">
        <f t="shared" si="16"/>
        <v>5453400</v>
      </c>
      <c r="E40" s="1627">
        <f t="shared" si="17"/>
        <v>0</v>
      </c>
      <c r="F40" s="1627"/>
      <c r="G40" s="1628">
        <f t="shared" si="18"/>
        <v>29800</v>
      </c>
      <c r="H40" s="1628"/>
      <c r="I40" s="1628">
        <f>D40*$I$4</f>
        <v>1281549</v>
      </c>
      <c r="J40" s="1628">
        <f>SUM(D40:I40)</f>
        <v>6764749</v>
      </c>
      <c r="K40" s="1628">
        <f t="shared" si="21"/>
        <v>260182.65384615384</v>
      </c>
    </row>
    <row r="41" spans="1:13">
      <c r="A41" s="1626"/>
      <c r="B41" s="1626">
        <v>6</v>
      </c>
      <c r="C41" s="1629">
        <f t="shared" si="22"/>
        <v>3.99</v>
      </c>
      <c r="D41" s="1627">
        <f t="shared" si="16"/>
        <v>5945100</v>
      </c>
      <c r="E41" s="1627">
        <f t="shared" si="17"/>
        <v>0</v>
      </c>
      <c r="F41" s="1627"/>
      <c r="G41" s="1628">
        <f t="shared" si="18"/>
        <v>29800</v>
      </c>
      <c r="H41" s="1628"/>
      <c r="I41" s="1628">
        <f t="shared" si="19"/>
        <v>1397098.5</v>
      </c>
      <c r="J41" s="1628">
        <f t="shared" si="20"/>
        <v>7371998.5</v>
      </c>
      <c r="K41" s="1628">
        <f t="shared" si="21"/>
        <v>283538.40384615387</v>
      </c>
    </row>
    <row r="42" spans="1:13">
      <c r="A42" s="1626"/>
      <c r="B42" s="1626">
        <v>7</v>
      </c>
      <c r="C42" s="1629">
        <f t="shared" si="22"/>
        <v>4.32</v>
      </c>
      <c r="D42" s="1627">
        <f>C42*$D$4</f>
        <v>6436800</v>
      </c>
      <c r="E42" s="1627">
        <f>D42*$E$4</f>
        <v>0</v>
      </c>
      <c r="F42" s="1627"/>
      <c r="G42" s="1628">
        <f t="shared" si="18"/>
        <v>29800</v>
      </c>
      <c r="H42" s="1628"/>
      <c r="I42" s="1628">
        <f>D42*$I$4</f>
        <v>1512648</v>
      </c>
      <c r="J42" s="1628">
        <f>SUM(D42:I42)</f>
        <v>7979248</v>
      </c>
      <c r="K42" s="1628">
        <f t="shared" si="21"/>
        <v>306894.15384615387</v>
      </c>
    </row>
    <row r="43" spans="1:13">
      <c r="A43" s="1626"/>
      <c r="B43" s="1626">
        <v>8</v>
      </c>
      <c r="C43" s="1629">
        <f t="shared" si="22"/>
        <v>4.6500000000000004</v>
      </c>
      <c r="D43" s="1627">
        <f>C43*$D$4</f>
        <v>6928500.0000000009</v>
      </c>
      <c r="E43" s="1627">
        <f>D43*$E$4</f>
        <v>0</v>
      </c>
      <c r="F43" s="1627"/>
      <c r="G43" s="1628">
        <f t="shared" si="18"/>
        <v>29800</v>
      </c>
      <c r="H43" s="1628"/>
      <c r="I43" s="1628">
        <f>D43*$I$4</f>
        <v>1628197.5000000002</v>
      </c>
      <c r="J43" s="1628">
        <f>SUM(D43:I43)</f>
        <v>8586497.5000000019</v>
      </c>
      <c r="K43" s="1628">
        <f t="shared" si="21"/>
        <v>330249.90384615393</v>
      </c>
    </row>
    <row r="44" spans="1:13">
      <c r="A44" s="1623" t="s">
        <v>11</v>
      </c>
      <c r="B44" s="1630" t="s">
        <v>43</v>
      </c>
      <c r="C44" s="1629"/>
      <c r="D44" s="1627"/>
      <c r="E44" s="1627"/>
      <c r="F44" s="1627"/>
      <c r="G44" s="1628"/>
      <c r="H44" s="1628"/>
      <c r="I44" s="1628"/>
      <c r="J44" s="1628"/>
      <c r="K44" s="1628">
        <f t="shared" si="13"/>
        <v>0</v>
      </c>
    </row>
    <row r="45" spans="1:13">
      <c r="A45" s="1626"/>
      <c r="B45" s="1626">
        <v>1</v>
      </c>
      <c r="C45" s="1629">
        <v>1.86</v>
      </c>
      <c r="D45" s="1627">
        <f>C45*$D$4</f>
        <v>2771400</v>
      </c>
      <c r="E45" s="1627">
        <f>D45*$E$4</f>
        <v>0</v>
      </c>
      <c r="F45" s="1627"/>
      <c r="G45" s="1628">
        <f>$D$4*$G$5</f>
        <v>29800</v>
      </c>
      <c r="H45" s="1628"/>
      <c r="I45" s="1628">
        <f>D45*$I$4</f>
        <v>651279</v>
      </c>
      <c r="J45" s="1628">
        <f>SUM(D45:I45)</f>
        <v>3452479</v>
      </c>
      <c r="K45" s="1628">
        <f>J45/K$5</f>
        <v>132787.65384615384</v>
      </c>
    </row>
    <row r="46" spans="1:13">
      <c r="A46" s="1626"/>
      <c r="B46" s="1626">
        <v>2</v>
      </c>
      <c r="C46" s="1629">
        <f>+C45+0.2</f>
        <v>2.06</v>
      </c>
      <c r="D46" s="1627">
        <f>C46*$D$4</f>
        <v>3069400</v>
      </c>
      <c r="E46" s="1627">
        <f>D46*$E$4</f>
        <v>0</v>
      </c>
      <c r="F46" s="1627"/>
      <c r="G46" s="1628">
        <f>$D$4*$G$5</f>
        <v>29800</v>
      </c>
      <c r="H46" s="1628"/>
      <c r="I46" s="1628">
        <f>D46*$I$4</f>
        <v>721309</v>
      </c>
      <c r="J46" s="1628">
        <f>SUM(D46:I46)</f>
        <v>3820509</v>
      </c>
      <c r="K46" s="1628">
        <f>J46/K$5</f>
        <v>146942.65384615384</v>
      </c>
    </row>
    <row r="47" spans="1:13">
      <c r="A47" s="1626"/>
      <c r="B47" s="1626">
        <v>3</v>
      </c>
      <c r="C47" s="1629">
        <f t="shared" ref="C47:C55" si="23">+C46+0.2</f>
        <v>2.2600000000000002</v>
      </c>
      <c r="D47" s="1627">
        <f>C47*$D$4</f>
        <v>3367400.0000000005</v>
      </c>
      <c r="E47" s="1627">
        <f>D47*$E$4</f>
        <v>0</v>
      </c>
      <c r="F47" s="1627"/>
      <c r="G47" s="1628">
        <f>$D$4*$G$5</f>
        <v>29800</v>
      </c>
      <c r="H47" s="1628"/>
      <c r="I47" s="1628">
        <f>D47*$I$4</f>
        <v>791339.00000000012</v>
      </c>
      <c r="J47" s="1628">
        <f>SUM(D47:I47)</f>
        <v>4188539.0000000005</v>
      </c>
      <c r="K47" s="1628">
        <f>J47/K$5</f>
        <v>161097.65384615387</v>
      </c>
    </row>
    <row r="48" spans="1:13">
      <c r="A48" s="1626"/>
      <c r="B48" s="1626">
        <v>4</v>
      </c>
      <c r="C48" s="1629">
        <f t="shared" si="23"/>
        <v>2.4600000000000004</v>
      </c>
      <c r="D48" s="1627">
        <f t="shared" ref="D48:D54" si="24">C48*$D$4</f>
        <v>3665400.0000000005</v>
      </c>
      <c r="E48" s="1627">
        <f t="shared" ref="E48:E54" si="25">D48*$E$4</f>
        <v>0</v>
      </c>
      <c r="F48" s="1627"/>
      <c r="G48" s="1628">
        <f t="shared" ref="G48:G56" si="26">$D$4*$G$5</f>
        <v>29800</v>
      </c>
      <c r="H48" s="1628"/>
      <c r="I48" s="1628">
        <f t="shared" ref="I48:I54" si="27">D48*$I$4</f>
        <v>861369.00000000012</v>
      </c>
      <c r="J48" s="1628">
        <f t="shared" ref="J48:J54" si="28">SUM(D48:I48)</f>
        <v>4556569.0000000009</v>
      </c>
      <c r="K48" s="1628">
        <f t="shared" si="13"/>
        <v>175252.65384615387</v>
      </c>
    </row>
    <row r="49" spans="1:11">
      <c r="A49" s="1626"/>
      <c r="B49" s="1626">
        <v>5</v>
      </c>
      <c r="C49" s="1629">
        <f t="shared" si="23"/>
        <v>2.6600000000000006</v>
      </c>
      <c r="D49" s="1627">
        <f t="shared" si="24"/>
        <v>3963400.0000000009</v>
      </c>
      <c r="E49" s="1627">
        <f t="shared" si="25"/>
        <v>0</v>
      </c>
      <c r="F49" s="1627"/>
      <c r="G49" s="1628">
        <f>$D$4*$G$5</f>
        <v>29800</v>
      </c>
      <c r="H49" s="1628"/>
      <c r="I49" s="1628">
        <f t="shared" si="27"/>
        <v>931399.00000000012</v>
      </c>
      <c r="J49" s="1628">
        <f>SUM(D49:I49)</f>
        <v>4924599.0000000009</v>
      </c>
      <c r="K49" s="1628">
        <f t="shared" si="13"/>
        <v>189407.65384615387</v>
      </c>
    </row>
    <row r="50" spans="1:11">
      <c r="A50" s="1626"/>
      <c r="B50" s="1626">
        <v>6</v>
      </c>
      <c r="C50" s="1629">
        <f t="shared" si="23"/>
        <v>2.8600000000000008</v>
      </c>
      <c r="D50" s="1627">
        <f t="shared" si="24"/>
        <v>4261400.0000000009</v>
      </c>
      <c r="E50" s="1627">
        <f t="shared" si="25"/>
        <v>0</v>
      </c>
      <c r="F50" s="1627"/>
      <c r="G50" s="1628">
        <f t="shared" si="26"/>
        <v>29800</v>
      </c>
      <c r="H50" s="1628"/>
      <c r="I50" s="1628">
        <f t="shared" si="27"/>
        <v>1001429.0000000001</v>
      </c>
      <c r="J50" s="1628">
        <f t="shared" si="28"/>
        <v>5292629.0000000009</v>
      </c>
      <c r="K50" s="1628">
        <f t="shared" si="13"/>
        <v>203562.65384615387</v>
      </c>
    </row>
    <row r="51" spans="1:11">
      <c r="A51" s="1626"/>
      <c r="B51" s="1626">
        <v>7</v>
      </c>
      <c r="C51" s="1629">
        <f t="shared" si="23"/>
        <v>3.0600000000000009</v>
      </c>
      <c r="D51" s="1627">
        <f t="shared" si="24"/>
        <v>4559400.0000000019</v>
      </c>
      <c r="E51" s="1627">
        <f t="shared" si="25"/>
        <v>0</v>
      </c>
      <c r="F51" s="1627"/>
      <c r="G51" s="1628">
        <f t="shared" si="26"/>
        <v>29800</v>
      </c>
      <c r="H51" s="1628"/>
      <c r="I51" s="1628">
        <f t="shared" si="27"/>
        <v>1071459.0000000005</v>
      </c>
      <c r="J51" s="1628">
        <f t="shared" si="28"/>
        <v>5660659.0000000019</v>
      </c>
      <c r="K51" s="1628">
        <f t="shared" si="13"/>
        <v>217717.65384615393</v>
      </c>
    </row>
    <row r="52" spans="1:11">
      <c r="A52" s="1626"/>
      <c r="B52" s="1626">
        <v>8</v>
      </c>
      <c r="C52" s="1629">
        <f t="shared" si="23"/>
        <v>3.2600000000000011</v>
      </c>
      <c r="D52" s="1627">
        <f t="shared" si="24"/>
        <v>4857400.0000000019</v>
      </c>
      <c r="E52" s="1627">
        <f t="shared" si="25"/>
        <v>0</v>
      </c>
      <c r="F52" s="1627"/>
      <c r="G52" s="1628">
        <f t="shared" si="26"/>
        <v>29800</v>
      </c>
      <c r="H52" s="1628"/>
      <c r="I52" s="1628">
        <f t="shared" si="27"/>
        <v>1141489.0000000005</v>
      </c>
      <c r="J52" s="1628">
        <f t="shared" si="28"/>
        <v>6028689.0000000019</v>
      </c>
      <c r="K52" s="1628">
        <f t="shared" si="13"/>
        <v>231872.65384615393</v>
      </c>
    </row>
    <row r="53" spans="1:11">
      <c r="A53" s="1626"/>
      <c r="B53" s="1626">
        <v>9</v>
      </c>
      <c r="C53" s="1629">
        <f t="shared" si="23"/>
        <v>3.4600000000000013</v>
      </c>
      <c r="D53" s="1627">
        <f t="shared" si="24"/>
        <v>5155400.0000000019</v>
      </c>
      <c r="E53" s="1627">
        <f t="shared" si="25"/>
        <v>0</v>
      </c>
      <c r="F53" s="1627"/>
      <c r="G53" s="1628">
        <f t="shared" si="26"/>
        <v>29800</v>
      </c>
      <c r="H53" s="1628"/>
      <c r="I53" s="1628">
        <f t="shared" si="27"/>
        <v>1211519.0000000005</v>
      </c>
      <c r="J53" s="1628">
        <f t="shared" si="28"/>
        <v>6396719.0000000019</v>
      </c>
      <c r="K53" s="1628">
        <f t="shared" si="13"/>
        <v>246027.65384615393</v>
      </c>
    </row>
    <row r="54" spans="1:11">
      <c r="A54" s="1626"/>
      <c r="B54" s="1626">
        <v>10</v>
      </c>
      <c r="C54" s="1629">
        <f t="shared" si="23"/>
        <v>3.6600000000000015</v>
      </c>
      <c r="D54" s="1627">
        <f t="shared" si="24"/>
        <v>5453400.0000000019</v>
      </c>
      <c r="E54" s="1627">
        <f t="shared" si="25"/>
        <v>0</v>
      </c>
      <c r="F54" s="1627"/>
      <c r="G54" s="1628">
        <f t="shared" si="26"/>
        <v>29800</v>
      </c>
      <c r="H54" s="1628"/>
      <c r="I54" s="1628">
        <f t="shared" si="27"/>
        <v>1281549.0000000005</v>
      </c>
      <c r="J54" s="1628">
        <f t="shared" si="28"/>
        <v>6764749.0000000019</v>
      </c>
      <c r="K54" s="1628">
        <f t="shared" si="13"/>
        <v>260182.65384615393</v>
      </c>
    </row>
    <row r="55" spans="1:11">
      <c r="A55" s="1626"/>
      <c r="B55" s="1626">
        <v>11</v>
      </c>
      <c r="C55" s="1629">
        <f t="shared" si="23"/>
        <v>3.8600000000000017</v>
      </c>
      <c r="D55" s="1627">
        <f>C55*$D$4</f>
        <v>5751400.0000000028</v>
      </c>
      <c r="E55" s="1627">
        <f>D55*$E$4</f>
        <v>0</v>
      </c>
      <c r="F55" s="1627"/>
      <c r="G55" s="1628">
        <f t="shared" si="26"/>
        <v>29800</v>
      </c>
      <c r="H55" s="1628"/>
      <c r="I55" s="1628">
        <f>D55*$I$4</f>
        <v>1351579.0000000005</v>
      </c>
      <c r="J55" s="1628">
        <f>SUM(D55:I55)</f>
        <v>7132779.0000000037</v>
      </c>
      <c r="K55" s="1628">
        <f>J55/K$5</f>
        <v>274337.65384615399</v>
      </c>
    </row>
    <row r="56" spans="1:11">
      <c r="A56" s="1810"/>
      <c r="B56" s="1810">
        <v>12</v>
      </c>
      <c r="C56" s="1811">
        <f>+C55+0.2</f>
        <v>4.0600000000000014</v>
      </c>
      <c r="D56" s="1647">
        <f>C56*$D$4</f>
        <v>6049400.0000000019</v>
      </c>
      <c r="E56" s="1647">
        <f>D56*$E$4</f>
        <v>0</v>
      </c>
      <c r="F56" s="1647"/>
      <c r="G56" s="1648">
        <f t="shared" si="26"/>
        <v>29800</v>
      </c>
      <c r="H56" s="1648"/>
      <c r="I56" s="1648">
        <f>D56*$I$4</f>
        <v>1421609.0000000005</v>
      </c>
      <c r="J56" s="1648">
        <f>SUM(D56:I56)</f>
        <v>7500809.0000000019</v>
      </c>
      <c r="K56" s="1648">
        <f>J56/K$5</f>
        <v>288492.65384615393</v>
      </c>
    </row>
    <row r="57" spans="1:11">
      <c r="A57" s="1814" t="s">
        <v>38</v>
      </c>
      <c r="B57" s="1815"/>
      <c r="C57" s="1816"/>
      <c r="D57" s="1817"/>
      <c r="E57" s="1817"/>
      <c r="F57" s="1817"/>
      <c r="G57" s="1818"/>
      <c r="H57" s="1818"/>
      <c r="I57" s="1818"/>
      <c r="J57" s="1818"/>
      <c r="K57" s="1818"/>
    </row>
    <row r="58" spans="1:11" hidden="1">
      <c r="A58" s="1819"/>
      <c r="B58" s="1639" t="s">
        <v>39</v>
      </c>
      <c r="C58" s="1640"/>
      <c r="D58" s="1637"/>
      <c r="E58" s="1637"/>
      <c r="F58" s="1637"/>
      <c r="G58" s="1638"/>
      <c r="H58" s="1638"/>
      <c r="I58" s="1638"/>
      <c r="J58" s="1638"/>
      <c r="K58" s="1638">
        <f t="shared" si="13"/>
        <v>0</v>
      </c>
    </row>
    <row r="59" spans="1:11" hidden="1">
      <c r="A59" s="1820">
        <v>1</v>
      </c>
      <c r="B59" s="1850" t="s">
        <v>60</v>
      </c>
      <c r="C59" s="1851"/>
      <c r="D59" s="1641">
        <f>$D$4*0.1</f>
        <v>149000</v>
      </c>
      <c r="E59" s="1641"/>
      <c r="F59" s="1641"/>
      <c r="G59" s="1642"/>
      <c r="H59" s="1643"/>
      <c r="I59" s="1642"/>
      <c r="J59" s="1642">
        <f>+D59</f>
        <v>149000</v>
      </c>
      <c r="K59" s="1642">
        <f>J59/K$5</f>
        <v>5730.7692307692305</v>
      </c>
    </row>
    <row r="60" spans="1:11" hidden="1">
      <c r="A60" s="1820">
        <v>2</v>
      </c>
      <c r="B60" s="1850" t="s">
        <v>44</v>
      </c>
      <c r="C60" s="1851"/>
      <c r="D60" s="1641">
        <f t="shared" ref="D60:D65" si="29">$D$4*0.1</f>
        <v>149000</v>
      </c>
      <c r="E60" s="1641"/>
      <c r="F60" s="1641"/>
      <c r="G60" s="1642"/>
      <c r="H60" s="1643"/>
      <c r="I60" s="1642"/>
      <c r="J60" s="1642">
        <f t="shared" ref="J60:J65" si="30">+D60</f>
        <v>149000</v>
      </c>
      <c r="K60" s="1642">
        <f t="shared" si="13"/>
        <v>5730.7692307692305</v>
      </c>
    </row>
    <row r="61" spans="1:11" hidden="1">
      <c r="A61" s="1820">
        <v>3</v>
      </c>
      <c r="B61" s="1850" t="s">
        <v>45</v>
      </c>
      <c r="C61" s="1851"/>
      <c r="D61" s="1641">
        <f t="shared" si="29"/>
        <v>149000</v>
      </c>
      <c r="E61" s="1641"/>
      <c r="F61" s="1641"/>
      <c r="G61" s="1642"/>
      <c r="H61" s="1643"/>
      <c r="I61" s="1642"/>
      <c r="J61" s="1642">
        <f t="shared" si="30"/>
        <v>149000</v>
      </c>
      <c r="K61" s="1642">
        <f>J61/K$5</f>
        <v>5730.7692307692305</v>
      </c>
    </row>
    <row r="62" spans="1:11">
      <c r="A62" s="1819"/>
      <c r="B62" s="1639" t="s">
        <v>40</v>
      </c>
      <c r="C62" s="1640"/>
      <c r="D62" s="1641">
        <f>$D$4*0.1</f>
        <v>149000</v>
      </c>
      <c r="E62" s="1637"/>
      <c r="F62" s="1637"/>
      <c r="G62" s="1638"/>
      <c r="H62" s="1638"/>
      <c r="I62" s="1638"/>
      <c r="J62" s="1642">
        <f>+D62</f>
        <v>149000</v>
      </c>
      <c r="K62" s="1642">
        <f>J62/K$5</f>
        <v>5730.7692307692305</v>
      </c>
    </row>
    <row r="63" spans="1:11">
      <c r="A63" s="1820">
        <v>1</v>
      </c>
      <c r="B63" s="1850" t="s">
        <v>60</v>
      </c>
      <c r="C63" s="1851"/>
      <c r="D63" s="1641">
        <f t="shared" si="29"/>
        <v>149000</v>
      </c>
      <c r="E63" s="1641"/>
      <c r="F63" s="1641"/>
      <c r="G63" s="1642"/>
      <c r="H63" s="1643"/>
      <c r="I63" s="1642"/>
      <c r="J63" s="1642">
        <f t="shared" si="30"/>
        <v>149000</v>
      </c>
      <c r="K63" s="1642">
        <f t="shared" si="13"/>
        <v>5730.7692307692305</v>
      </c>
    </row>
    <row r="64" spans="1:11">
      <c r="A64" s="1820">
        <v>2</v>
      </c>
      <c r="B64" s="1850" t="s">
        <v>44</v>
      </c>
      <c r="C64" s="1851"/>
      <c r="D64" s="1641">
        <f t="shared" si="29"/>
        <v>149000</v>
      </c>
      <c r="E64" s="1641"/>
      <c r="F64" s="1641"/>
      <c r="G64" s="1642"/>
      <c r="H64" s="1643"/>
      <c r="I64" s="1642"/>
      <c r="J64" s="1642">
        <f t="shared" si="30"/>
        <v>149000</v>
      </c>
      <c r="K64" s="1642">
        <f t="shared" si="13"/>
        <v>5730.7692307692305</v>
      </c>
    </row>
    <row r="65" spans="1:11">
      <c r="A65" s="1821">
        <v>3</v>
      </c>
      <c r="B65" s="1852" t="s">
        <v>45</v>
      </c>
      <c r="C65" s="1853"/>
      <c r="D65" s="1822">
        <f t="shared" si="29"/>
        <v>149000</v>
      </c>
      <c r="E65" s="1822"/>
      <c r="F65" s="1822"/>
      <c r="G65" s="1823"/>
      <c r="H65" s="1824"/>
      <c r="I65" s="1823"/>
      <c r="J65" s="1823">
        <f t="shared" si="30"/>
        <v>149000</v>
      </c>
      <c r="K65" s="1823">
        <f t="shared" si="13"/>
        <v>5730.7692307692305</v>
      </c>
    </row>
    <row r="66" spans="1:11" ht="28.5" hidden="1" customHeight="1">
      <c r="A66" s="1828"/>
      <c r="B66" s="1644"/>
      <c r="C66" s="1645"/>
      <c r="D66" s="1812"/>
      <c r="E66" s="1812"/>
      <c r="F66" s="1812"/>
      <c r="G66" s="1635"/>
      <c r="H66" s="1813"/>
      <c r="I66" s="1635"/>
      <c r="J66" s="1635"/>
      <c r="K66" s="1635"/>
    </row>
    <row r="67" spans="1:11" hidden="1">
      <c r="A67" s="1810"/>
      <c r="B67" s="1646" t="s">
        <v>29</v>
      </c>
      <c r="C67" s="1646"/>
      <c r="D67" s="1647"/>
      <c r="E67" s="1647"/>
      <c r="F67" s="1647"/>
      <c r="G67" s="1648"/>
      <c r="H67" s="1649"/>
      <c r="I67" s="1648"/>
      <c r="J67" s="1648"/>
      <c r="K67" s="1829">
        <v>100000</v>
      </c>
    </row>
    <row r="68" spans="1:11">
      <c r="A68" s="1830"/>
      <c r="B68" s="1848"/>
      <c r="C68" s="1849"/>
      <c r="D68" s="1831"/>
      <c r="E68" s="1831"/>
      <c r="F68" s="1831"/>
      <c r="G68" s="1832"/>
      <c r="H68" s="1832"/>
      <c r="I68" s="1832"/>
      <c r="J68" s="1832"/>
      <c r="K68" s="1832"/>
    </row>
  </sheetData>
  <mergeCells count="8">
    <mergeCell ref="B68:C68"/>
    <mergeCell ref="B64:C64"/>
    <mergeCell ref="B65:C65"/>
    <mergeCell ref="A1:K1"/>
    <mergeCell ref="B60:C60"/>
    <mergeCell ref="B61:C61"/>
    <mergeCell ref="B59:C59"/>
    <mergeCell ref="B63:C63"/>
  </mergeCells>
  <phoneticPr fontId="0" type="noConversion"/>
  <printOptions horizontalCentered="1"/>
  <pageMargins left="0.70866141732283472" right="0.11811023622047245" top="0.74803149606299213" bottom="0.55118110236220474" header="0.51181102362204722" footer="0.2362204724409449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76"/>
  <sheetViews>
    <sheetView zoomScale="85" zoomScaleNormal="85" workbookViewId="0">
      <pane ySplit="3" topLeftCell="A41" activePane="bottomLeft" state="frozen"/>
      <selection activeCell="M9" sqref="M9"/>
      <selection pane="bottomLeft" activeCell="E46" sqref="E46"/>
    </sheetView>
  </sheetViews>
  <sheetFormatPr defaultColWidth="9" defaultRowHeight="15.75"/>
  <cols>
    <col min="1" max="1" width="5" style="233" customWidth="1"/>
    <col min="2" max="2" width="52.875" style="233" customWidth="1"/>
    <col min="3" max="3" width="12.125" style="233" customWidth="1"/>
    <col min="4" max="4" width="14.375" style="233" bestFit="1" customWidth="1"/>
    <col min="5" max="5" width="14.5" style="234" bestFit="1" customWidth="1"/>
    <col min="6" max="6" width="11.625" style="235" customWidth="1"/>
    <col min="7" max="7" width="9.625" style="1142" bestFit="1" customWidth="1"/>
    <col min="8" max="9" width="18" style="300" hidden="1" customWidth="1"/>
    <col min="10" max="12" width="18" style="232" hidden="1" customWidth="1"/>
    <col min="13" max="13" width="18" style="233" hidden="1" customWidth="1"/>
    <col min="14" max="14" width="16.75" style="233" hidden="1" customWidth="1"/>
    <col min="15" max="15" width="18.375" style="233" customWidth="1"/>
    <col min="16" max="16384" width="9" style="233"/>
  </cols>
  <sheetData>
    <row r="1" spans="1:14" ht="55.5" customHeight="1">
      <c r="A1" s="1870" t="s">
        <v>1121</v>
      </c>
      <c r="B1" s="1870"/>
      <c r="C1" s="1870"/>
      <c r="D1" s="1870"/>
      <c r="E1" s="1870"/>
      <c r="F1" s="1870"/>
      <c r="G1" s="1870"/>
      <c r="H1" s="1871"/>
      <c r="I1" s="1871"/>
      <c r="J1" s="1871"/>
      <c r="K1" s="1677" t="s">
        <v>968</v>
      </c>
      <c r="L1" s="1677" t="s">
        <v>706</v>
      </c>
      <c r="M1" s="1678" t="s">
        <v>969</v>
      </c>
      <c r="N1" s="1678" t="s">
        <v>970</v>
      </c>
    </row>
    <row r="2" spans="1:14" ht="20.25" customHeight="1">
      <c r="A2" s="1593"/>
      <c r="B2" s="1593"/>
      <c r="C2" s="1593"/>
      <c r="D2" s="1593"/>
      <c r="E2" s="1593"/>
      <c r="F2" s="1679" t="s">
        <v>70</v>
      </c>
      <c r="G2" s="1680" t="s">
        <v>69</v>
      </c>
      <c r="H2" s="1592"/>
      <c r="I2" s="1592"/>
      <c r="J2" s="1593"/>
      <c r="K2" s="1677"/>
      <c r="L2" s="1677"/>
      <c r="M2" s="1678"/>
      <c r="N2" s="1678"/>
    </row>
    <row r="3" spans="1:14" ht="31.5">
      <c r="A3" s="1681" t="s">
        <v>14</v>
      </c>
      <c r="B3" s="1681" t="s">
        <v>109</v>
      </c>
      <c r="C3" s="1681" t="s">
        <v>20</v>
      </c>
      <c r="D3" s="1681" t="s">
        <v>7</v>
      </c>
      <c r="E3" s="1682" t="s">
        <v>996</v>
      </c>
      <c r="F3" s="1683" t="s">
        <v>1102</v>
      </c>
      <c r="G3" s="1683" t="s">
        <v>19</v>
      </c>
      <c r="H3" s="1684" t="s">
        <v>797</v>
      </c>
      <c r="I3" s="1684" t="s">
        <v>941</v>
      </c>
      <c r="J3" s="1682" t="s">
        <v>912</v>
      </c>
      <c r="K3" s="1685">
        <v>8000</v>
      </c>
      <c r="L3" s="1677">
        <f>K3*10%</f>
        <v>800</v>
      </c>
      <c r="M3" s="1677">
        <f>(K3-L3)*90%</f>
        <v>6480</v>
      </c>
      <c r="N3" s="1686">
        <f>K3-L3-M3</f>
        <v>720</v>
      </c>
    </row>
    <row r="4" spans="1:14" s="352" customFormat="1">
      <c r="A4" s="1681">
        <v>1</v>
      </c>
      <c r="B4" s="1687" t="s">
        <v>860</v>
      </c>
      <c r="C4" s="1681"/>
      <c r="D4" s="1681"/>
      <c r="E4" s="1688"/>
      <c r="F4" s="1689"/>
      <c r="G4" s="1690"/>
      <c r="H4" s="1691"/>
      <c r="I4" s="1691"/>
      <c r="J4" s="1689">
        <f>J5+J6</f>
        <v>5993100.9230769239</v>
      </c>
      <c r="K4" s="1692"/>
      <c r="L4" s="1692">
        <f>E4*$K$3</f>
        <v>0</v>
      </c>
      <c r="M4" s="1692"/>
      <c r="N4" s="1692"/>
    </row>
    <row r="5" spans="1:14" s="352" customFormat="1" ht="63">
      <c r="A5" s="1693" t="s">
        <v>156</v>
      </c>
      <c r="B5" s="1694" t="s">
        <v>1100</v>
      </c>
      <c r="C5" s="1693" t="s">
        <v>1</v>
      </c>
      <c r="D5" s="1693" t="s">
        <v>1050</v>
      </c>
      <c r="E5" s="1695">
        <v>1E-3</v>
      </c>
      <c r="F5" s="1696">
        <f>(L_CBan!K46+L_CBan!K39)</f>
        <v>383769.55769230769</v>
      </c>
      <c r="G5" s="1697">
        <f>F5*E5</f>
        <v>383.76955769230767</v>
      </c>
      <c r="H5" s="1868" t="s">
        <v>883</v>
      </c>
      <c r="I5" s="1698">
        <f>'Tinh thu theo du thao'!D7</f>
        <v>8000</v>
      </c>
      <c r="J5" s="1699">
        <f>G5*I5</f>
        <v>3070156.4615384615</v>
      </c>
      <c r="K5" s="1692"/>
      <c r="L5" s="1692"/>
      <c r="M5" s="1692"/>
      <c r="N5" s="1692"/>
    </row>
    <row r="6" spans="1:14" s="352" customFormat="1" ht="31.5">
      <c r="A6" s="1693" t="s">
        <v>157</v>
      </c>
      <c r="B6" s="1694" t="s">
        <v>1025</v>
      </c>
      <c r="C6" s="1693" t="s">
        <v>1</v>
      </c>
      <c r="D6" s="1693" t="s">
        <v>837</v>
      </c>
      <c r="E6" s="1695">
        <v>1E-3</v>
      </c>
      <c r="F6" s="1696">
        <f>(L_CBan!K48+L_CBan!K37)</f>
        <v>365368.05769230775</v>
      </c>
      <c r="G6" s="1697">
        <f t="shared" ref="G6:G10" si="0">F6*E6</f>
        <v>365.36805769230773</v>
      </c>
      <c r="H6" s="1869"/>
      <c r="I6" s="1698">
        <f>'Tinh thu theo du thao'!D8</f>
        <v>8000</v>
      </c>
      <c r="J6" s="1699">
        <f t="shared" ref="J6:J42" si="1">G6*I6</f>
        <v>2922944.461538462</v>
      </c>
      <c r="K6" s="1692"/>
      <c r="L6" s="1692"/>
      <c r="M6" s="1692"/>
      <c r="N6" s="1692"/>
    </row>
    <row r="7" spans="1:14" ht="31.5" customHeight="1">
      <c r="A7" s="1681">
        <v>2</v>
      </c>
      <c r="B7" s="1687" t="s">
        <v>861</v>
      </c>
      <c r="C7" s="1693" t="s">
        <v>1</v>
      </c>
      <c r="D7" s="1693" t="s">
        <v>939</v>
      </c>
      <c r="E7" s="1695">
        <v>3.8E-3</v>
      </c>
      <c r="F7" s="1696">
        <f>(L_CBan!K48+1*L_CBan!K38)</f>
        <v>388723.80769230775</v>
      </c>
      <c r="G7" s="1697">
        <f t="shared" si="0"/>
        <v>1477.1504692307694</v>
      </c>
      <c r="H7" s="1700" t="s">
        <v>884</v>
      </c>
      <c r="I7" s="1698">
        <f>'Tinh thu theo du thao'!D9</f>
        <v>8000</v>
      </c>
      <c r="J7" s="1701">
        <f t="shared" si="1"/>
        <v>11817203.753846155</v>
      </c>
      <c r="K7" s="1677"/>
      <c r="L7" s="1677">
        <f>E7*K3</f>
        <v>30.4</v>
      </c>
      <c r="M7" s="1677"/>
      <c r="N7" s="1677"/>
    </row>
    <row r="8" spans="1:14">
      <c r="A8" s="1681">
        <v>3</v>
      </c>
      <c r="B8" s="1687" t="s">
        <v>859</v>
      </c>
      <c r="C8" s="1687"/>
      <c r="D8" s="1687"/>
      <c r="E8" s="1682"/>
      <c r="F8" s="1689"/>
      <c r="G8" s="1697"/>
      <c r="H8" s="1702"/>
      <c r="I8" s="1698"/>
      <c r="J8" s="1701">
        <f>SUM(J9:J11)</f>
        <v>35238448.102153845</v>
      </c>
      <c r="K8" s="1677"/>
      <c r="L8" s="1677">
        <f>E8*K3</f>
        <v>0</v>
      </c>
      <c r="M8" s="1677"/>
      <c r="N8" s="1677"/>
    </row>
    <row r="9" spans="1:14" ht="33.75" customHeight="1">
      <c r="A9" s="1693" t="s">
        <v>120</v>
      </c>
      <c r="B9" s="1694" t="s">
        <v>997</v>
      </c>
      <c r="C9" s="1693" t="s">
        <v>1</v>
      </c>
      <c r="D9" s="1693" t="s">
        <v>913</v>
      </c>
      <c r="E9" s="1695">
        <v>5.4000000000000003E-3</v>
      </c>
      <c r="F9" s="1696">
        <f>L_CBan!K38</f>
        <v>213471.15384615384</v>
      </c>
      <c r="G9" s="1697">
        <f t="shared" si="0"/>
        <v>1152.7442307692309</v>
      </c>
      <c r="H9" s="1700" t="s">
        <v>951</v>
      </c>
      <c r="I9" s="1698">
        <f>'Tinh thu theo du thao'!D11</f>
        <v>8000</v>
      </c>
      <c r="J9" s="1699">
        <f t="shared" si="1"/>
        <v>9221953.846153846</v>
      </c>
      <c r="K9" s="1703">
        <f>1/E9</f>
        <v>185.18518518518516</v>
      </c>
      <c r="L9" s="1677"/>
      <c r="M9" s="1677"/>
      <c r="N9" s="1677"/>
    </row>
    <row r="10" spans="1:14" ht="24" customHeight="1">
      <c r="A10" s="1693" t="s">
        <v>155</v>
      </c>
      <c r="B10" s="1694" t="s">
        <v>858</v>
      </c>
      <c r="C10" s="1704" t="s">
        <v>1</v>
      </c>
      <c r="D10" s="1693" t="s">
        <v>913</v>
      </c>
      <c r="E10" s="1695">
        <v>6.3E-3</v>
      </c>
      <c r="F10" s="1696">
        <f>L_CBan!K38</f>
        <v>213471.15384615384</v>
      </c>
      <c r="G10" s="1697">
        <f t="shared" si="0"/>
        <v>1344.8682692307693</v>
      </c>
      <c r="H10" s="1700" t="s">
        <v>950</v>
      </c>
      <c r="I10" s="1698">
        <f>'Tinh thu theo du thao'!D12</f>
        <v>8000</v>
      </c>
      <c r="J10" s="1699">
        <f t="shared" si="1"/>
        <v>10758946.153846154</v>
      </c>
      <c r="K10" s="1705"/>
      <c r="L10" s="1677"/>
      <c r="M10" s="1677"/>
      <c r="N10" s="1677"/>
    </row>
    <row r="11" spans="1:14" ht="126">
      <c r="A11" s="1693" t="s">
        <v>139</v>
      </c>
      <c r="B11" s="1694" t="s">
        <v>1091</v>
      </c>
      <c r="C11" s="1704" t="s">
        <v>1</v>
      </c>
      <c r="D11" s="1693" t="s">
        <v>1051</v>
      </c>
      <c r="E11" s="1695">
        <v>6.7999999999999996E-3</v>
      </c>
      <c r="F11" s="1696">
        <f>(L_CBan!K45+L_CBan!K38)</f>
        <v>346258.80769230769</v>
      </c>
      <c r="G11" s="1697">
        <f>F11*E11</f>
        <v>2354.5598923076923</v>
      </c>
      <c r="H11" s="1700" t="s">
        <v>885</v>
      </c>
      <c r="I11" s="1698">
        <f>M3</f>
        <v>6480</v>
      </c>
      <c r="J11" s="1699">
        <f t="shared" si="1"/>
        <v>15257548.102153845</v>
      </c>
      <c r="K11" s="1705"/>
      <c r="L11" s="1677"/>
      <c r="M11" s="1677"/>
      <c r="N11" s="1677"/>
    </row>
    <row r="12" spans="1:14" s="352" customFormat="1">
      <c r="A12" s="1706">
        <v>4</v>
      </c>
      <c r="B12" s="1687" t="s">
        <v>146</v>
      </c>
      <c r="C12" s="1681"/>
      <c r="D12" s="1681"/>
      <c r="E12" s="1682"/>
      <c r="F12" s="1707"/>
      <c r="G12" s="1697"/>
      <c r="H12" s="1708"/>
      <c r="I12" s="1698"/>
      <c r="J12" s="1701">
        <f>J14+J15+J16+J17</f>
        <v>38021969.000000007</v>
      </c>
      <c r="K12" s="1692"/>
      <c r="L12" s="1692"/>
      <c r="M12" s="1692"/>
      <c r="N12" s="1692"/>
    </row>
    <row r="13" spans="1:14">
      <c r="A13" s="1704" t="s">
        <v>121</v>
      </c>
      <c r="B13" s="1694" t="s">
        <v>821</v>
      </c>
      <c r="C13" s="1693"/>
      <c r="D13" s="1693"/>
      <c r="E13" s="1695"/>
      <c r="F13" s="1709"/>
      <c r="G13" s="1697"/>
      <c r="H13" s="1702"/>
      <c r="I13" s="1698"/>
      <c r="J13" s="1699">
        <f t="shared" si="1"/>
        <v>0</v>
      </c>
      <c r="K13" s="1677"/>
      <c r="L13" s="1677"/>
      <c r="M13" s="1677"/>
      <c r="N13" s="1677"/>
    </row>
    <row r="14" spans="1:14" ht="47.25">
      <c r="A14" s="1704" t="s">
        <v>64</v>
      </c>
      <c r="B14" s="1694" t="s">
        <v>847</v>
      </c>
      <c r="C14" s="1693" t="s">
        <v>1</v>
      </c>
      <c r="D14" s="1693" t="s">
        <v>913</v>
      </c>
      <c r="E14" s="1695">
        <v>1.2999999999999999E-3</v>
      </c>
      <c r="F14" s="1696">
        <f>L_CBan!K38</f>
        <v>213471.15384615384</v>
      </c>
      <c r="G14" s="1697">
        <f>F14*E14</f>
        <v>277.51249999999999</v>
      </c>
      <c r="H14" s="1694" t="s">
        <v>887</v>
      </c>
      <c r="I14" s="1698">
        <f>'Tinh thu theo du thao'!D16</f>
        <v>8000</v>
      </c>
      <c r="J14" s="1699">
        <f t="shared" si="1"/>
        <v>2220100</v>
      </c>
      <c r="K14" s="1866" t="s">
        <v>175</v>
      </c>
      <c r="L14" s="1677"/>
      <c r="M14" s="1677"/>
      <c r="N14" s="1677"/>
    </row>
    <row r="15" spans="1:14" ht="31.5">
      <c r="A15" s="1704" t="s">
        <v>65</v>
      </c>
      <c r="B15" s="1694" t="s">
        <v>1026</v>
      </c>
      <c r="C15" s="1693" t="s">
        <v>1</v>
      </c>
      <c r="D15" s="1693" t="s">
        <v>913</v>
      </c>
      <c r="E15" s="1695">
        <v>6.7999999999999996E-3</v>
      </c>
      <c r="F15" s="1696">
        <f>L_CBan!K38</f>
        <v>213471.15384615384</v>
      </c>
      <c r="G15" s="1697">
        <f>F15*E15</f>
        <v>1451.603846153846</v>
      </c>
      <c r="H15" s="1694" t="s">
        <v>798</v>
      </c>
      <c r="I15" s="1698">
        <f>'Tinh thu theo du thao'!D17</f>
        <v>8000</v>
      </c>
      <c r="J15" s="1710">
        <f t="shared" si="1"/>
        <v>11612830.769230768</v>
      </c>
      <c r="K15" s="1866"/>
      <c r="L15" s="1677"/>
      <c r="M15" s="1711">
        <v>104684</v>
      </c>
      <c r="N15" s="1677"/>
    </row>
    <row r="16" spans="1:14" ht="46.5" customHeight="1">
      <c r="A16" s="1704" t="s">
        <v>916</v>
      </c>
      <c r="B16" s="1694" t="s">
        <v>1027</v>
      </c>
      <c r="C16" s="1693" t="s">
        <v>1</v>
      </c>
      <c r="D16" s="1693" t="s">
        <v>913</v>
      </c>
      <c r="E16" s="1695">
        <v>1.2500000000000001E-2</v>
      </c>
      <c r="F16" s="1696">
        <f>L_CBan!K38</f>
        <v>213471.15384615384</v>
      </c>
      <c r="G16" s="1697">
        <f>F16*E16</f>
        <v>2668.3894230769233</v>
      </c>
      <c r="H16" s="1712" t="s">
        <v>953</v>
      </c>
      <c r="I16" s="1698">
        <f>'Tinh thu theo du thao'!D18</f>
        <v>8000</v>
      </c>
      <c r="J16" s="1710">
        <f t="shared" si="1"/>
        <v>21347115.384615388</v>
      </c>
      <c r="K16" s="1867"/>
      <c r="L16" s="1677"/>
      <c r="M16" s="1677">
        <f>M15*5%</f>
        <v>5234.2000000000007</v>
      </c>
      <c r="N16" s="1677"/>
    </row>
    <row r="17" spans="1:16" ht="48" customHeight="1">
      <c r="A17" s="1704" t="s">
        <v>148</v>
      </c>
      <c r="B17" s="1694" t="s">
        <v>1028</v>
      </c>
      <c r="C17" s="1693" t="s">
        <v>1</v>
      </c>
      <c r="D17" s="1693" t="s">
        <v>913</v>
      </c>
      <c r="E17" s="1695">
        <v>1.5E-3</v>
      </c>
      <c r="F17" s="1696">
        <f>L_CBan!K39</f>
        <v>236826.90384615384</v>
      </c>
      <c r="G17" s="1697">
        <f>F17*E17</f>
        <v>355.24035576923075</v>
      </c>
      <c r="H17" s="1713" t="s">
        <v>937</v>
      </c>
      <c r="I17" s="1698">
        <f>'Tinh thu theo du thao'!D19</f>
        <v>8000</v>
      </c>
      <c r="J17" s="1699">
        <f t="shared" si="1"/>
        <v>2841922.846153846</v>
      </c>
      <c r="K17" s="1714"/>
      <c r="L17" s="1677"/>
      <c r="M17" s="1677">
        <f>M15*20%</f>
        <v>20936.800000000003</v>
      </c>
      <c r="N17" s="1677"/>
    </row>
    <row r="18" spans="1:16">
      <c r="A18" s="1704" t="s">
        <v>872</v>
      </c>
      <c r="B18" s="1694" t="s">
        <v>918</v>
      </c>
      <c r="C18" s="1693"/>
      <c r="D18" s="1693"/>
      <c r="E18" s="1695"/>
      <c r="F18" s="1696"/>
      <c r="G18" s="1697"/>
      <c r="H18" s="1694"/>
      <c r="I18" s="1698">
        <f>'Tinh thu theo du thao'!D20</f>
        <v>0</v>
      </c>
      <c r="J18" s="1699">
        <f t="shared" si="1"/>
        <v>0</v>
      </c>
      <c r="K18" s="1677"/>
      <c r="L18" s="1677"/>
      <c r="M18" s="1677"/>
      <c r="N18" s="1677"/>
    </row>
    <row r="19" spans="1:16" ht="40.5" customHeight="1">
      <c r="A19" s="1704" t="s">
        <v>62</v>
      </c>
      <c r="B19" s="1694" t="s">
        <v>848</v>
      </c>
      <c r="C19" s="1693" t="s">
        <v>1</v>
      </c>
      <c r="D19" s="1693" t="s">
        <v>913</v>
      </c>
      <c r="E19" s="1695">
        <v>2.5000000000000001E-2</v>
      </c>
      <c r="F19" s="1696">
        <f>L_CBan!K38</f>
        <v>213471.15384615384</v>
      </c>
      <c r="G19" s="1697">
        <f>F19*E19</f>
        <v>5336.7788461538466</v>
      </c>
      <c r="H19" s="1694" t="s">
        <v>888</v>
      </c>
      <c r="I19" s="1698">
        <f>'Tinh thu theo du thao'!D21</f>
        <v>0</v>
      </c>
      <c r="J19" s="1699">
        <f t="shared" si="1"/>
        <v>0</v>
      </c>
      <c r="K19" s="1677"/>
      <c r="L19" s="1677"/>
      <c r="M19" s="1677"/>
      <c r="N19" s="1677"/>
    </row>
    <row r="20" spans="1:16" ht="47.25">
      <c r="A20" s="1704" t="s">
        <v>91</v>
      </c>
      <c r="B20" s="1694" t="s">
        <v>849</v>
      </c>
      <c r="C20" s="1693" t="s">
        <v>1</v>
      </c>
      <c r="D20" s="1693" t="s">
        <v>913</v>
      </c>
      <c r="E20" s="1695">
        <f>1/20</f>
        <v>0.05</v>
      </c>
      <c r="F20" s="1696">
        <f>L_CBan!K38</f>
        <v>213471.15384615384</v>
      </c>
      <c r="G20" s="1697">
        <f>F20*E20</f>
        <v>10673.557692307693</v>
      </c>
      <c r="H20" s="1694" t="s">
        <v>889</v>
      </c>
      <c r="I20" s="1698">
        <f>'Tinh thu theo du thao'!D22</f>
        <v>0</v>
      </c>
      <c r="J20" s="1699">
        <f t="shared" si="1"/>
        <v>0</v>
      </c>
      <c r="K20" s="1703">
        <f>G20*K3</f>
        <v>85388461.538461551</v>
      </c>
      <c r="L20" s="1677"/>
      <c r="M20" s="1677"/>
      <c r="N20" s="1677"/>
    </row>
    <row r="21" spans="1:16" ht="54" customHeight="1">
      <c r="A21" s="1704" t="s">
        <v>1071</v>
      </c>
      <c r="B21" s="1694" t="s">
        <v>850</v>
      </c>
      <c r="C21" s="1693" t="s">
        <v>1</v>
      </c>
      <c r="D21" s="1693" t="s">
        <v>913</v>
      </c>
      <c r="E21" s="1695">
        <v>2.5000000000000001E-2</v>
      </c>
      <c r="F21" s="1696">
        <f>L_CBan!K38</f>
        <v>213471.15384615384</v>
      </c>
      <c r="G21" s="1697">
        <f>F21*E21</f>
        <v>5336.7788461538466</v>
      </c>
      <c r="H21" s="1694" t="s">
        <v>888</v>
      </c>
      <c r="I21" s="1698">
        <f>'Tinh thu theo du thao'!D23</f>
        <v>0</v>
      </c>
      <c r="J21" s="1699">
        <f t="shared" si="1"/>
        <v>0</v>
      </c>
      <c r="K21" s="1677"/>
      <c r="L21" s="1677"/>
      <c r="M21" s="1677"/>
      <c r="N21" s="1677"/>
    </row>
    <row r="22" spans="1:16" ht="33.75" customHeight="1">
      <c r="A22" s="1704" t="s">
        <v>917</v>
      </c>
      <c r="B22" s="1694" t="s">
        <v>851</v>
      </c>
      <c r="C22" s="1693" t="s">
        <v>1</v>
      </c>
      <c r="D22" s="1693" t="s">
        <v>913</v>
      </c>
      <c r="E22" s="1695">
        <f>E21</f>
        <v>2.5000000000000001E-2</v>
      </c>
      <c r="F22" s="1696">
        <f>L_CBan!K38</f>
        <v>213471.15384615384</v>
      </c>
      <c r="G22" s="1697">
        <f>F22*E22</f>
        <v>5336.7788461538466</v>
      </c>
      <c r="H22" s="1694" t="s">
        <v>888</v>
      </c>
      <c r="I22" s="1698"/>
      <c r="J22" s="1699">
        <f t="shared" si="1"/>
        <v>0</v>
      </c>
      <c r="K22" s="1677"/>
      <c r="L22" s="1677"/>
      <c r="M22" s="1677"/>
      <c r="N22" s="1677"/>
      <c r="P22" s="233">
        <f>E27*1.2</f>
        <v>0.13139999999999999</v>
      </c>
    </row>
    <row r="23" spans="1:16">
      <c r="A23" s="1706">
        <v>5</v>
      </c>
      <c r="B23" s="1687" t="s">
        <v>862</v>
      </c>
      <c r="C23" s="1681"/>
      <c r="D23" s="1693"/>
      <c r="E23" s="1682"/>
      <c r="F23" s="1689"/>
      <c r="G23" s="1697"/>
      <c r="H23" s="1694"/>
      <c r="I23" s="1698"/>
      <c r="J23" s="1701">
        <f>SUM(J24:J27)</f>
        <v>174410202.11538464</v>
      </c>
      <c r="K23" s="1677"/>
      <c r="L23" s="1703"/>
      <c r="M23" s="1677"/>
      <c r="N23" s="1677"/>
    </row>
    <row r="24" spans="1:16" s="301" customFormat="1" ht="47.25">
      <c r="A24" s="1693" t="s">
        <v>122</v>
      </c>
      <c r="B24" s="1694" t="s">
        <v>852</v>
      </c>
      <c r="C24" s="1693" t="s">
        <v>1</v>
      </c>
      <c r="D24" s="1693" t="s">
        <v>913</v>
      </c>
      <c r="E24" s="1695">
        <v>0.01</v>
      </c>
      <c r="F24" s="1715">
        <f>L_CBan!K38</f>
        <v>213471.15384615384</v>
      </c>
      <c r="G24" s="1697">
        <f>F24*E24</f>
        <v>2134.7115384615386</v>
      </c>
      <c r="H24" s="1694" t="s">
        <v>891</v>
      </c>
      <c r="I24" s="1698">
        <f>M3</f>
        <v>6480</v>
      </c>
      <c r="J24" s="1699">
        <f t="shared" si="1"/>
        <v>13832930.76923077</v>
      </c>
      <c r="K24" s="1716"/>
      <c r="L24" s="1716"/>
      <c r="M24" s="1716"/>
      <c r="N24" s="1716"/>
    </row>
    <row r="25" spans="1:16" s="301" customFormat="1" ht="47.25">
      <c r="A25" s="1693" t="s">
        <v>141</v>
      </c>
      <c r="B25" s="1694" t="s">
        <v>853</v>
      </c>
      <c r="C25" s="1693" t="s">
        <v>1</v>
      </c>
      <c r="D25" s="1693" t="s">
        <v>913</v>
      </c>
      <c r="E25" s="1695">
        <v>5.0000000000000001E-3</v>
      </c>
      <c r="F25" s="1715">
        <f>L_CBan!K38</f>
        <v>213471.15384615384</v>
      </c>
      <c r="G25" s="1697">
        <f>F25*E25</f>
        <v>1067.3557692307693</v>
      </c>
      <c r="H25" s="1694" t="s">
        <v>892</v>
      </c>
      <c r="I25" s="1698">
        <f>I24*10%</f>
        <v>648</v>
      </c>
      <c r="J25" s="1699">
        <f t="shared" si="1"/>
        <v>691646.5384615385</v>
      </c>
      <c r="K25" s="1716"/>
      <c r="L25" s="1716"/>
      <c r="M25" s="1716"/>
      <c r="N25" s="1716"/>
    </row>
    <row r="26" spans="1:16" s="301" customFormat="1">
      <c r="A26" s="1693" t="s">
        <v>142</v>
      </c>
      <c r="B26" s="1694" t="s">
        <v>906</v>
      </c>
      <c r="C26" s="1693"/>
      <c r="D26" s="1693"/>
      <c r="E26" s="307"/>
      <c r="F26" s="1715"/>
      <c r="G26" s="1697"/>
      <c r="H26" s="1694"/>
      <c r="I26" s="1698"/>
      <c r="J26" s="1699"/>
      <c r="K26" s="1716"/>
      <c r="L26" s="1716"/>
      <c r="M26" s="1716"/>
      <c r="N26" s="1716"/>
    </row>
    <row r="27" spans="1:16" s="301" customFormat="1" ht="27" customHeight="1">
      <c r="A27" s="1199" t="s">
        <v>1087</v>
      </c>
      <c r="B27" s="1792" t="s">
        <v>1074</v>
      </c>
      <c r="C27" s="1199" t="s">
        <v>1</v>
      </c>
      <c r="D27" s="1199" t="s">
        <v>913</v>
      </c>
      <c r="E27" s="1261">
        <v>0.1095</v>
      </c>
      <c r="F27" s="1847">
        <f>L_CBan!K38</f>
        <v>213471.15384615384</v>
      </c>
      <c r="G27" s="1342">
        <f>F27*E27</f>
        <v>23375.091346153848</v>
      </c>
      <c r="H27" s="1694" t="s">
        <v>893</v>
      </c>
      <c r="I27" s="1698">
        <f>M3</f>
        <v>6480</v>
      </c>
      <c r="J27" s="1699">
        <f>(G27*I27)+(N3*G27*0.5)</f>
        <v>159885624.80769232</v>
      </c>
      <c r="K27" s="1716"/>
      <c r="L27" s="1716"/>
      <c r="M27" s="1716"/>
      <c r="N27" s="1716"/>
    </row>
    <row r="28" spans="1:16" s="301" customFormat="1">
      <c r="A28" s="1199" t="s">
        <v>1088</v>
      </c>
      <c r="B28" s="1792" t="s">
        <v>1073</v>
      </c>
      <c r="C28" s="1199" t="s">
        <v>1</v>
      </c>
      <c r="D28" s="1199" t="s">
        <v>913</v>
      </c>
      <c r="E28" s="1261">
        <f>E27*1.2</f>
        <v>0.13139999999999999</v>
      </c>
      <c r="F28" s="1847">
        <f>+F27</f>
        <v>213471.15384615384</v>
      </c>
      <c r="G28" s="1342">
        <f>F28*E28</f>
        <v>28050.109615384612</v>
      </c>
      <c r="H28" s="1694"/>
      <c r="I28" s="1698"/>
      <c r="J28" s="1699"/>
      <c r="K28" s="1716"/>
      <c r="L28" s="1716"/>
      <c r="M28" s="1716"/>
      <c r="N28" s="1716"/>
    </row>
    <row r="29" spans="1:16" s="301" customFormat="1">
      <c r="A29" s="1199" t="s">
        <v>1089</v>
      </c>
      <c r="B29" s="1792" t="s">
        <v>1075</v>
      </c>
      <c r="C29" s="1199" t="s">
        <v>1</v>
      </c>
      <c r="D29" s="1199" t="s">
        <v>913</v>
      </c>
      <c r="E29" s="1261">
        <f>E27*0.5</f>
        <v>5.475E-2</v>
      </c>
      <c r="F29" s="1847">
        <f t="shared" ref="F29:F30" si="2">+F28</f>
        <v>213471.15384615384</v>
      </c>
      <c r="G29" s="1342">
        <f>F29*E29</f>
        <v>11687.545673076924</v>
      </c>
      <c r="H29" s="1694"/>
      <c r="I29" s="1698"/>
      <c r="J29" s="1699"/>
      <c r="K29" s="1716"/>
      <c r="L29" s="1716"/>
      <c r="M29" s="1716"/>
      <c r="N29" s="1716"/>
    </row>
    <row r="30" spans="1:16" s="301" customFormat="1">
      <c r="A30" s="1199" t="s">
        <v>1090</v>
      </c>
      <c r="B30" s="1792" t="s">
        <v>1076</v>
      </c>
      <c r="C30" s="1199" t="s">
        <v>1</v>
      </c>
      <c r="D30" s="1199" t="s">
        <v>913</v>
      </c>
      <c r="E30" s="1261">
        <f>E27*0.5</f>
        <v>5.475E-2</v>
      </c>
      <c r="F30" s="1847">
        <f t="shared" si="2"/>
        <v>213471.15384615384</v>
      </c>
      <c r="G30" s="1342">
        <f>F30*E30</f>
        <v>11687.545673076924</v>
      </c>
      <c r="H30" s="1694"/>
      <c r="I30" s="1698"/>
      <c r="J30" s="1699"/>
      <c r="K30" s="1716"/>
      <c r="L30" s="1716"/>
      <c r="M30" s="1716"/>
      <c r="N30" s="1716"/>
    </row>
    <row r="31" spans="1:16">
      <c r="A31" s="1706">
        <v>6</v>
      </c>
      <c r="B31" s="1687" t="s">
        <v>863</v>
      </c>
      <c r="C31" s="1706"/>
      <c r="D31" s="1681"/>
      <c r="E31" s="1682"/>
      <c r="F31" s="1689"/>
      <c r="G31" s="1697"/>
      <c r="H31" s="1694"/>
      <c r="I31" s="1698">
        <f>'Tinh thu theo du thao'!D28</f>
        <v>0</v>
      </c>
      <c r="J31" s="1701">
        <f>SUM(J32:J33)</f>
        <v>21347115.384615384</v>
      </c>
      <c r="K31" s="1677"/>
      <c r="L31" s="1677"/>
      <c r="M31" s="1677"/>
      <c r="N31" s="1677"/>
    </row>
    <row r="32" spans="1:16" ht="25.5" customHeight="1">
      <c r="A32" s="1704" t="s">
        <v>124</v>
      </c>
      <c r="B32" s="1694" t="s">
        <v>1029</v>
      </c>
      <c r="C32" s="1693" t="s">
        <v>1</v>
      </c>
      <c r="D32" s="1693" t="s">
        <v>913</v>
      </c>
      <c r="E32" s="1695">
        <v>0.01</v>
      </c>
      <c r="F32" s="1696">
        <f>L_CBan!K38</f>
        <v>213471.15384615384</v>
      </c>
      <c r="G32" s="1697">
        <f>F32*E32</f>
        <v>2134.7115384615386</v>
      </c>
      <c r="H32" s="1702" t="s">
        <v>798</v>
      </c>
      <c r="I32" s="1698">
        <f>'Tinh thu theo du thao'!D29</f>
        <v>8000</v>
      </c>
      <c r="J32" s="1699">
        <f t="shared" si="1"/>
        <v>17077692.307692308</v>
      </c>
      <c r="K32" s="1677"/>
      <c r="L32" s="1677"/>
      <c r="M32" s="1677"/>
      <c r="N32" s="1677"/>
    </row>
    <row r="33" spans="1:14" ht="21.75" customHeight="1">
      <c r="A33" s="1704" t="s">
        <v>143</v>
      </c>
      <c r="B33" s="1694" t="s">
        <v>854</v>
      </c>
      <c r="C33" s="1693" t="s">
        <v>1</v>
      </c>
      <c r="D33" s="1693" t="s">
        <v>913</v>
      </c>
      <c r="E33" s="1695">
        <v>2.5000000000000001E-3</v>
      </c>
      <c r="F33" s="1696">
        <f>L_CBan!K38</f>
        <v>213471.15384615384</v>
      </c>
      <c r="G33" s="1697">
        <f>F33*E33</f>
        <v>533.67788461538464</v>
      </c>
      <c r="H33" s="1702" t="s">
        <v>960</v>
      </c>
      <c r="I33" s="1698">
        <f>'Tinh thu theo du thao'!D30</f>
        <v>8000</v>
      </c>
      <c r="J33" s="1699">
        <f t="shared" si="1"/>
        <v>4269423.076923077</v>
      </c>
      <c r="K33" s="1677"/>
      <c r="L33" s="1677"/>
      <c r="M33" s="1677"/>
      <c r="N33" s="1677"/>
    </row>
    <row r="34" spans="1:14">
      <c r="A34" s="1706">
        <v>7</v>
      </c>
      <c r="B34" s="1687" t="s">
        <v>864</v>
      </c>
      <c r="C34" s="1706"/>
      <c r="D34" s="1681"/>
      <c r="E34" s="1717"/>
      <c r="F34" s="1689"/>
      <c r="G34" s="1697">
        <f>F34*E34</f>
        <v>0</v>
      </c>
      <c r="H34" s="1694"/>
      <c r="I34" s="1698"/>
      <c r="J34" s="1701">
        <f>SUM(J35:J36)</f>
        <v>5912915.9999999991</v>
      </c>
      <c r="K34" s="1677"/>
      <c r="L34" s="1677">
        <v>10</v>
      </c>
      <c r="M34" s="1677"/>
      <c r="N34" s="1677"/>
    </row>
    <row r="35" spans="1:14" ht="39" customHeight="1">
      <c r="A35" s="1704" t="s">
        <v>123</v>
      </c>
      <c r="B35" s="1694" t="s">
        <v>855</v>
      </c>
      <c r="C35" s="1704" t="s">
        <v>1</v>
      </c>
      <c r="D35" s="1693" t="s">
        <v>915</v>
      </c>
      <c r="E35" s="1695">
        <v>3.8E-3</v>
      </c>
      <c r="F35" s="1696">
        <f>L_CBan!K37</f>
        <v>190115.40384615384</v>
      </c>
      <c r="G35" s="1697">
        <f>F35*E35</f>
        <v>722.43853461538458</v>
      </c>
      <c r="H35" s="1694" t="s">
        <v>894</v>
      </c>
      <c r="I35" s="1698">
        <f>'Tinh thu theo du thao'!D32</f>
        <v>8000</v>
      </c>
      <c r="J35" s="1699">
        <f t="shared" si="1"/>
        <v>5779508.2769230762</v>
      </c>
      <c r="K35" s="1677"/>
      <c r="L35" s="1677">
        <f>E35*8000</f>
        <v>30.4</v>
      </c>
      <c r="M35" s="1677">
        <v>1.2999999999999999E-3</v>
      </c>
      <c r="N35" s="1677"/>
    </row>
    <row r="36" spans="1:14" ht="31.5">
      <c r="A36" s="1704" t="s">
        <v>800</v>
      </c>
      <c r="B36" s="1694" t="s">
        <v>856</v>
      </c>
      <c r="C36" s="1704" t="s">
        <v>1</v>
      </c>
      <c r="D36" s="1693" t="s">
        <v>46</v>
      </c>
      <c r="E36" s="1695">
        <v>1E-4</v>
      </c>
      <c r="F36" s="1696">
        <f>L_CBan!K36</f>
        <v>166759.65384615384</v>
      </c>
      <c r="G36" s="1697">
        <f>F36*E36</f>
        <v>16.675965384615385</v>
      </c>
      <c r="H36" s="1694" t="s">
        <v>798</v>
      </c>
      <c r="I36" s="1698">
        <f>'Tinh thu theo du thao'!D33</f>
        <v>8000</v>
      </c>
      <c r="J36" s="1699">
        <f t="shared" si="1"/>
        <v>133407.72307692308</v>
      </c>
      <c r="K36" s="1677"/>
      <c r="L36" s="1677">
        <f>E36*8000</f>
        <v>0.8</v>
      </c>
      <c r="M36" s="1677">
        <v>1E-4</v>
      </c>
      <c r="N36" s="1677"/>
    </row>
    <row r="37" spans="1:14" ht="31.5">
      <c r="A37" s="1706">
        <v>8</v>
      </c>
      <c r="B37" s="1687" t="s">
        <v>998</v>
      </c>
      <c r="C37" s="1706"/>
      <c r="D37" s="1693"/>
      <c r="E37" s="1717"/>
      <c r="F37" s="1689"/>
      <c r="G37" s="1697"/>
      <c r="H37" s="1694"/>
      <c r="I37" s="1698"/>
      <c r="J37" s="1701">
        <f>SUM(J38:J40)</f>
        <v>36556347.692307696</v>
      </c>
      <c r="K37" s="1677"/>
      <c r="L37" s="1677"/>
      <c r="M37" s="1677"/>
      <c r="N37" s="1677"/>
    </row>
    <row r="38" spans="1:14" ht="39.75" customHeight="1">
      <c r="A38" s="1704" t="s">
        <v>924</v>
      </c>
      <c r="B38" s="1694" t="s">
        <v>1030</v>
      </c>
      <c r="C38" s="1704" t="s">
        <v>1</v>
      </c>
      <c r="D38" s="1693" t="s">
        <v>46</v>
      </c>
      <c r="E38" s="1695">
        <v>7.4999999999999997E-3</v>
      </c>
      <c r="F38" s="1696">
        <f>L_CBan!K36</f>
        <v>166759.65384615384</v>
      </c>
      <c r="G38" s="1697">
        <f>F38*E38</f>
        <v>1250.6974038461537</v>
      </c>
      <c r="H38" s="1694" t="s">
        <v>949</v>
      </c>
      <c r="I38" s="1698">
        <f>'Tinh thu theo du thao'!D35</f>
        <v>8000</v>
      </c>
      <c r="J38" s="1699">
        <f t="shared" si="1"/>
        <v>10005579.23076923</v>
      </c>
      <c r="K38" s="1677"/>
      <c r="L38" s="1677"/>
      <c r="M38" s="1677"/>
      <c r="N38" s="1677"/>
    </row>
    <row r="39" spans="1:14" ht="19.5" customHeight="1">
      <c r="A39" s="1704" t="s">
        <v>925</v>
      </c>
      <c r="B39" s="1694" t="s">
        <v>857</v>
      </c>
      <c r="C39" s="1704" t="s">
        <v>1</v>
      </c>
      <c r="D39" s="1693" t="s">
        <v>914</v>
      </c>
      <c r="E39" s="1695">
        <v>5.0000000000000001E-3</v>
      </c>
      <c r="F39" s="1696">
        <f>L_CBan!K39</f>
        <v>236826.90384615384</v>
      </c>
      <c r="G39" s="1697">
        <f>F39*E39</f>
        <v>1184.1345192307692</v>
      </c>
      <c r="H39" s="1694" t="s">
        <v>895</v>
      </c>
      <c r="I39" s="1698">
        <f>'Tinh thu theo du thao'!D36</f>
        <v>8000</v>
      </c>
      <c r="J39" s="1699">
        <f t="shared" si="1"/>
        <v>9473076.153846154</v>
      </c>
      <c r="K39" s="1703">
        <f>(J39/8000)*200</f>
        <v>236826.90384615384</v>
      </c>
      <c r="L39" s="1677">
        <f>K3/200</f>
        <v>40</v>
      </c>
      <c r="M39" s="1677"/>
      <c r="N39" s="1677"/>
    </row>
    <row r="40" spans="1:14" ht="42" customHeight="1">
      <c r="A40" s="1704" t="s">
        <v>926</v>
      </c>
      <c r="B40" s="1694" t="s">
        <v>811</v>
      </c>
      <c r="C40" s="1704" t="s">
        <v>1</v>
      </c>
      <c r="D40" s="1693" t="s">
        <v>913</v>
      </c>
      <c r="E40" s="1695">
        <v>0.01</v>
      </c>
      <c r="F40" s="1696">
        <f>L_CBan!K38</f>
        <v>213471.15384615384</v>
      </c>
      <c r="G40" s="1697">
        <f>F40*E40</f>
        <v>2134.7115384615386</v>
      </c>
      <c r="H40" s="1694" t="s">
        <v>974</v>
      </c>
      <c r="I40" s="1698">
        <f>'Tinh thu theo du thao'!D37</f>
        <v>8000</v>
      </c>
      <c r="J40" s="1699">
        <f t="shared" si="1"/>
        <v>17077692.307692308</v>
      </c>
      <c r="K40" s="1703"/>
      <c r="L40" s="1677"/>
      <c r="M40" s="1677"/>
      <c r="N40" s="1677"/>
    </row>
    <row r="41" spans="1:14">
      <c r="A41" s="1706">
        <v>9</v>
      </c>
      <c r="B41" s="1687" t="s">
        <v>1031</v>
      </c>
      <c r="C41" s="1706"/>
      <c r="D41" s="1693"/>
      <c r="E41" s="1718"/>
      <c r="F41" s="1689"/>
      <c r="G41" s="1697"/>
      <c r="H41" s="1694"/>
      <c r="I41" s="1698"/>
      <c r="J41" s="1701">
        <f>J42</f>
        <v>3224648.8307692311</v>
      </c>
      <c r="K41" s="1677"/>
      <c r="L41" s="1677"/>
      <c r="M41" s="1677"/>
      <c r="N41" s="1677"/>
    </row>
    <row r="42" spans="1:14" ht="80.25" customHeight="1">
      <c r="A42" s="1704"/>
      <c r="B42" s="1694" t="s">
        <v>923</v>
      </c>
      <c r="C42" s="1704" t="s">
        <v>1</v>
      </c>
      <c r="D42" s="1693" t="s">
        <v>638</v>
      </c>
      <c r="E42" s="1695">
        <v>2.3E-3</v>
      </c>
      <c r="F42" s="1696">
        <f>L_CBan!K48</f>
        <v>175252.65384615387</v>
      </c>
      <c r="G42" s="1697">
        <f>F42*E42</f>
        <v>403.08110384615389</v>
      </c>
      <c r="H42" s="1694" t="s">
        <v>938</v>
      </c>
      <c r="I42" s="1698">
        <f>'Tinh thu theo du thao'!D39</f>
        <v>8000</v>
      </c>
      <c r="J42" s="1699">
        <f t="shared" si="1"/>
        <v>3224648.8307692311</v>
      </c>
      <c r="K42" s="1677"/>
      <c r="L42" s="1677"/>
      <c r="M42" s="1677"/>
      <c r="N42" s="1677"/>
    </row>
    <row r="43" spans="1:14" ht="43.5" customHeight="1">
      <c r="A43" s="1837"/>
      <c r="B43" s="1838"/>
      <c r="C43" s="1837"/>
      <c r="D43" s="1839"/>
      <c r="E43" s="1840"/>
      <c r="F43" s="1841"/>
      <c r="G43" s="1842"/>
      <c r="H43" s="1838"/>
      <c r="I43" s="1843"/>
      <c r="J43" s="1844"/>
      <c r="K43" s="1677"/>
      <c r="L43" s="1677"/>
      <c r="M43" s="1677"/>
      <c r="N43" s="1677"/>
    </row>
    <row r="44" spans="1:14" ht="43.5" customHeight="1">
      <c r="A44" s="1837"/>
      <c r="B44" s="1838"/>
      <c r="C44" s="1837"/>
      <c r="D44" s="1839"/>
      <c r="E44" s="1840"/>
      <c r="F44" s="1841"/>
      <c r="G44" s="1842"/>
      <c r="H44" s="1838"/>
      <c r="I44" s="1843"/>
      <c r="J44" s="1844"/>
      <c r="K44" s="1677"/>
      <c r="L44" s="1677"/>
      <c r="M44" s="1677"/>
      <c r="N44" s="1677"/>
    </row>
    <row r="45" spans="1:14" ht="43.5" customHeight="1">
      <c r="A45" s="1837"/>
      <c r="B45" s="1838"/>
      <c r="C45" s="1837"/>
      <c r="D45" s="1839"/>
      <c r="E45" s="1840"/>
      <c r="F45" s="1841"/>
      <c r="G45" s="1842"/>
      <c r="H45" s="1838"/>
      <c r="I45" s="1843"/>
      <c r="J45" s="1844"/>
      <c r="K45" s="1677"/>
      <c r="L45" s="1677"/>
      <c r="M45" s="1677"/>
      <c r="N45" s="1677"/>
    </row>
    <row r="46" spans="1:14">
      <c r="A46" s="1677"/>
      <c r="B46" s="1677"/>
      <c r="C46" s="1677"/>
      <c r="D46" s="1677"/>
      <c r="E46" s="1719"/>
      <c r="F46" s="1686"/>
      <c r="G46" s="1720"/>
      <c r="H46" s="1721" t="s">
        <v>170</v>
      </c>
      <c r="I46" s="1721"/>
      <c r="J46" s="1722">
        <f>J4+J7+J8+J12+J23+J31+J34+J37+J41</f>
        <v>332521951.80215389</v>
      </c>
      <c r="K46" s="1677"/>
      <c r="L46" s="1677"/>
      <c r="M46" s="1677"/>
      <c r="N46" s="1677"/>
    </row>
    <row r="47" spans="1:14">
      <c r="A47" s="1677"/>
      <c r="B47" s="1677"/>
      <c r="C47" s="1677"/>
      <c r="D47" s="1677"/>
      <c r="E47" s="1719"/>
      <c r="F47" s="1686"/>
      <c r="G47" s="1720"/>
      <c r="H47" s="1721" t="s">
        <v>166</v>
      </c>
      <c r="I47" s="1721"/>
      <c r="J47" s="1723">
        <f>'Vật liệu'!E58</f>
        <v>2129.4547312399995</v>
      </c>
      <c r="K47" s="1677"/>
      <c r="L47" s="1677"/>
      <c r="M47" s="1677"/>
      <c r="N47" s="1677"/>
    </row>
    <row r="48" spans="1:14">
      <c r="A48" s="1677"/>
      <c r="B48" s="1677"/>
      <c r="C48" s="1677"/>
      <c r="D48" s="1677"/>
      <c r="E48" s="1719"/>
      <c r="F48" s="1686"/>
      <c r="G48" s="1720">
        <f>SUM(G5:G42)</f>
        <v>124897.58893653844</v>
      </c>
      <c r="H48" s="1721" t="s">
        <v>167</v>
      </c>
      <c r="I48" s="1721"/>
      <c r="J48" s="1723" t="e">
        <f>'Thiết bị'!#REF!+'Thiết bị'!#REF!</f>
        <v>#REF!</v>
      </c>
      <c r="K48" s="1677"/>
      <c r="L48" s="1677"/>
      <c r="M48" s="1677"/>
      <c r="N48" s="1677"/>
    </row>
    <row r="49" spans="1:14">
      <c r="A49" s="1677"/>
      <c r="B49" s="1677"/>
      <c r="C49" s="1677"/>
      <c r="D49" s="1677"/>
      <c r="E49" s="1719"/>
      <c r="F49" s="1686"/>
      <c r="G49" s="1720"/>
      <c r="H49" s="1721" t="s">
        <v>168</v>
      </c>
      <c r="I49" s="1721"/>
      <c r="J49" s="1723" t="e">
        <f>'Dụng cụ'!#REF!</f>
        <v>#REF!</v>
      </c>
      <c r="K49" s="1677"/>
      <c r="L49" s="1724" t="e">
        <f>J47+J48+J49</f>
        <v>#REF!</v>
      </c>
      <c r="M49" s="1677"/>
      <c r="N49" s="1677"/>
    </row>
    <row r="50" spans="1:14">
      <c r="A50" s="1677"/>
      <c r="B50" s="1677"/>
      <c r="C50" s="1677"/>
      <c r="D50" s="1677"/>
      <c r="E50" s="1719"/>
      <c r="F50" s="1686"/>
      <c r="G50" s="1725"/>
      <c r="H50" s="1726" t="s">
        <v>35</v>
      </c>
      <c r="I50" s="1726"/>
      <c r="J50" s="1727" t="e">
        <f>J46+J47+J48+J49</f>
        <v>#REF!</v>
      </c>
      <c r="K50" s="1677"/>
      <c r="L50" s="1728" t="e">
        <f>L49/J50</f>
        <v>#REF!</v>
      </c>
      <c r="M50" s="1677"/>
      <c r="N50" s="1677"/>
    </row>
    <row r="51" spans="1:14">
      <c r="A51" s="1359"/>
      <c r="B51" s="1359"/>
      <c r="C51" s="1359"/>
      <c r="D51" s="1359"/>
      <c r="E51" s="1382"/>
      <c r="F51" s="1384"/>
      <c r="G51" s="1385"/>
      <c r="H51" s="1383"/>
      <c r="I51" s="1383"/>
      <c r="J51" s="1386"/>
      <c r="K51" s="1358"/>
      <c r="L51" s="1358"/>
      <c r="M51" s="1359"/>
      <c r="N51" s="1359"/>
    </row>
    <row r="52" spans="1:14">
      <c r="A52" s="1359"/>
      <c r="B52" s="1359"/>
      <c r="C52" s="1359"/>
      <c r="D52" s="1359"/>
      <c r="E52" s="1382"/>
      <c r="F52" s="1384"/>
      <c r="G52" s="1385"/>
      <c r="H52" s="1383"/>
      <c r="I52" s="1383"/>
      <c r="J52" s="1387"/>
      <c r="K52" s="1358"/>
      <c r="L52" s="1358"/>
      <c r="M52" s="1359"/>
      <c r="N52" s="1359"/>
    </row>
    <row r="53" spans="1:14">
      <c r="E53" s="834"/>
    </row>
    <row r="54" spans="1:14">
      <c r="H54" s="1253"/>
      <c r="I54" s="1253"/>
    </row>
    <row r="59" spans="1:14">
      <c r="B59" s="232"/>
    </row>
    <row r="61" spans="1:14">
      <c r="B61" s="1460"/>
      <c r="C61" s="1460"/>
      <c r="D61" s="1460"/>
      <c r="E61" s="1461"/>
      <c r="F61" s="1462"/>
      <c r="G61" s="1463"/>
      <c r="H61" s="1464"/>
      <c r="I61" s="1464"/>
      <c r="J61" s="1460"/>
      <c r="K61" s="1460"/>
      <c r="L61" s="1455"/>
    </row>
    <row r="62" spans="1:14">
      <c r="B62" s="1455"/>
      <c r="C62" s="1455"/>
      <c r="D62" s="1455"/>
      <c r="E62" s="1456"/>
      <c r="F62" s="1457"/>
      <c r="G62" s="1458"/>
      <c r="H62" s="1459"/>
      <c r="I62" s="1459"/>
      <c r="J62" s="1455"/>
      <c r="K62" s="1455"/>
      <c r="L62" s="1455"/>
    </row>
    <row r="63" spans="1:14">
      <c r="B63" s="1455"/>
      <c r="C63" s="1455"/>
      <c r="D63" s="1455"/>
      <c r="E63" s="1456"/>
      <c r="F63" s="1457"/>
      <c r="G63" s="1458"/>
      <c r="H63" s="1459"/>
      <c r="I63" s="1459"/>
      <c r="J63" s="1455"/>
      <c r="K63" s="1455"/>
      <c r="L63" s="1455"/>
    </row>
    <row r="64" spans="1:14">
      <c r="B64" s="1455"/>
      <c r="C64" s="1455"/>
      <c r="D64" s="1455"/>
      <c r="E64" s="1456"/>
      <c r="F64" s="1457"/>
      <c r="G64" s="1458"/>
      <c r="H64" s="1459"/>
      <c r="I64" s="1459"/>
      <c r="J64" s="1455"/>
      <c r="K64" s="1455"/>
      <c r="L64" s="1455"/>
    </row>
    <row r="65" spans="2:12">
      <c r="B65" s="1455"/>
      <c r="C65" s="1455"/>
      <c r="D65" s="1455"/>
      <c r="E65" s="1456"/>
      <c r="F65" s="1457"/>
      <c r="G65" s="1458"/>
      <c r="H65" s="1459"/>
      <c r="I65" s="1459"/>
      <c r="J65" s="1455"/>
      <c r="K65" s="1455"/>
      <c r="L65" s="1455"/>
    </row>
    <row r="66" spans="2:12">
      <c r="B66" s="1455"/>
      <c r="C66" s="1455"/>
      <c r="D66" s="1455"/>
      <c r="E66" s="1456"/>
      <c r="F66" s="1457"/>
      <c r="G66" s="1458"/>
      <c r="H66" s="1459"/>
      <c r="I66" s="1459"/>
      <c r="J66" s="1455"/>
      <c r="K66" s="1455"/>
      <c r="L66" s="1455"/>
    </row>
    <row r="67" spans="2:12">
      <c r="B67" s="1455"/>
      <c r="C67" s="1455"/>
      <c r="D67" s="1455"/>
      <c r="E67" s="1456"/>
      <c r="F67" s="1457"/>
      <c r="G67" s="1458"/>
      <c r="H67" s="1459"/>
      <c r="I67" s="1459"/>
      <c r="J67" s="1455"/>
      <c r="K67" s="1455"/>
      <c r="L67" s="1455"/>
    </row>
    <row r="68" spans="2:12">
      <c r="B68" s="1455"/>
      <c r="C68" s="1455"/>
      <c r="D68" s="1455"/>
      <c r="E68" s="1456"/>
      <c r="F68" s="1457"/>
      <c r="G68" s="1458"/>
      <c r="H68" s="1459"/>
      <c r="I68" s="1459"/>
      <c r="J68" s="1455"/>
      <c r="K68" s="1455"/>
      <c r="L68" s="1455"/>
    </row>
    <row r="69" spans="2:12">
      <c r="B69" s="1460"/>
      <c r="C69" s="1460"/>
      <c r="D69" s="1460"/>
      <c r="E69" s="1461"/>
      <c r="F69" s="1462"/>
      <c r="G69" s="1463"/>
      <c r="H69" s="1464"/>
      <c r="I69" s="1464"/>
      <c r="J69" s="1460"/>
      <c r="K69" s="1460"/>
      <c r="L69" s="1455"/>
    </row>
    <row r="70" spans="2:12">
      <c r="B70" s="1455"/>
      <c r="C70" s="1455"/>
      <c r="D70" s="1455"/>
      <c r="E70" s="1456"/>
      <c r="F70" s="1457"/>
      <c r="G70" s="1458"/>
      <c r="H70" s="1459"/>
      <c r="I70" s="1459"/>
      <c r="J70" s="1455"/>
      <c r="K70" s="1455"/>
      <c r="L70" s="1455"/>
    </row>
    <row r="71" spans="2:12">
      <c r="B71" s="1455"/>
      <c r="C71" s="1455"/>
      <c r="D71" s="1455"/>
      <c r="E71" s="1456"/>
      <c r="F71" s="1457"/>
      <c r="G71" s="1458"/>
      <c r="H71" s="1459"/>
      <c r="I71" s="1459"/>
      <c r="J71" s="1455"/>
      <c r="K71" s="1455"/>
      <c r="L71" s="1455"/>
    </row>
    <row r="72" spans="2:12">
      <c r="B72" s="1455"/>
      <c r="C72" s="1455"/>
      <c r="D72" s="1455"/>
      <c r="E72" s="1456"/>
      <c r="F72" s="1457"/>
      <c r="G72" s="1458"/>
      <c r="H72" s="1459"/>
      <c r="I72" s="1459"/>
      <c r="J72" s="1455"/>
      <c r="K72" s="1455"/>
      <c r="L72" s="1455"/>
    </row>
    <row r="73" spans="2:12">
      <c r="B73" s="1455"/>
      <c r="C73" s="1455"/>
      <c r="D73" s="1455"/>
      <c r="E73" s="1456"/>
      <c r="F73" s="1457"/>
      <c r="G73" s="1458"/>
      <c r="H73" s="1459"/>
      <c r="I73" s="1459"/>
      <c r="J73" s="1455"/>
      <c r="K73" s="1455"/>
      <c r="L73" s="1455"/>
    </row>
    <row r="74" spans="2:12">
      <c r="B74" s="1455"/>
      <c r="C74" s="1455"/>
      <c r="D74" s="1455"/>
      <c r="E74" s="1456"/>
      <c r="F74" s="1457"/>
      <c r="G74" s="1458"/>
      <c r="H74" s="1459"/>
      <c r="I74" s="1459"/>
      <c r="J74" s="1455"/>
      <c r="K74" s="1455"/>
      <c r="L74" s="1455"/>
    </row>
    <row r="75" spans="2:12">
      <c r="B75" s="1455"/>
      <c r="C75" s="1455"/>
      <c r="D75" s="1455"/>
      <c r="E75" s="1456"/>
      <c r="F75" s="1457"/>
      <c r="G75" s="1458"/>
      <c r="H75" s="1459"/>
      <c r="I75" s="1459"/>
      <c r="J75" s="1455"/>
      <c r="K75" s="1455"/>
      <c r="L75" s="1455"/>
    </row>
    <row r="76" spans="2:12">
      <c r="B76" s="1455"/>
      <c r="C76" s="1455"/>
      <c r="D76" s="1455"/>
      <c r="E76" s="1456"/>
      <c r="F76" s="1457"/>
      <c r="G76" s="1458"/>
      <c r="H76" s="1459"/>
      <c r="I76" s="1459"/>
      <c r="J76" s="1455"/>
      <c r="K76" s="1455"/>
      <c r="L76" s="1455"/>
    </row>
  </sheetData>
  <mergeCells count="3">
    <mergeCell ref="K14:K16"/>
    <mergeCell ref="H5:H6"/>
    <mergeCell ref="A1:J1"/>
  </mergeCells>
  <phoneticPr fontId="90" type="noConversion"/>
  <pageMargins left="0.8" right="0.196850393700787" top="0.78740157480314998" bottom="0" header="0.31496062992126" footer="0"/>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78"/>
  <sheetViews>
    <sheetView tabSelected="1" zoomScale="84" zoomScaleNormal="84" workbookViewId="0">
      <pane xSplit="5" ySplit="3" topLeftCell="F173" activePane="bottomRight" state="frozen"/>
      <selection pane="topRight" activeCell="F1" sqref="F1"/>
      <selection pane="bottomLeft" activeCell="A4" sqref="A4"/>
      <selection pane="bottomRight" activeCell="H184" sqref="H184"/>
    </sheetView>
  </sheetViews>
  <sheetFormatPr defaultColWidth="9" defaultRowHeight="15"/>
  <cols>
    <col min="1" max="1" width="6.5" style="334" bestFit="1" customWidth="1"/>
    <col min="2" max="2" width="49.875" style="245" customWidth="1"/>
    <col min="3" max="3" width="6.25" style="296" customWidth="1"/>
    <col min="4" max="4" width="10" style="245" customWidth="1"/>
    <col min="5" max="5" width="9.25" style="245" customWidth="1"/>
    <col min="6" max="6" width="12" style="1517" customWidth="1"/>
    <col min="7" max="7" width="8.5" style="297" customWidth="1"/>
    <col min="8" max="8" width="8.5" style="298" customWidth="1"/>
    <col min="9" max="9" width="8.625" style="1520" bestFit="1" customWidth="1"/>
    <col min="10" max="16384" width="9" style="245"/>
  </cols>
  <sheetData>
    <row r="1" spans="1:11" ht="15.75">
      <c r="A1" s="1864" t="s">
        <v>1122</v>
      </c>
      <c r="B1" s="1864"/>
      <c r="C1" s="1864"/>
      <c r="D1" s="1864"/>
      <c r="E1" s="1864"/>
      <c r="F1" s="1864"/>
      <c r="G1" s="1864"/>
      <c r="H1" s="1864"/>
      <c r="I1" s="1864"/>
    </row>
    <row r="2" spans="1:11" ht="15.75">
      <c r="A2" s="323"/>
      <c r="B2" s="247"/>
      <c r="C2" s="246"/>
      <c r="D2" s="247"/>
      <c r="E2" s="247"/>
      <c r="F2" s="248"/>
      <c r="G2" s="249"/>
      <c r="H2" s="250" t="s">
        <v>70</v>
      </c>
      <c r="I2" s="1519" t="s">
        <v>69</v>
      </c>
    </row>
    <row r="3" spans="1:11" s="257" customFormat="1" ht="47.25">
      <c r="A3" s="1435" t="s">
        <v>14</v>
      </c>
      <c r="B3" s="1435" t="s">
        <v>16</v>
      </c>
      <c r="C3" s="1435" t="s">
        <v>20</v>
      </c>
      <c r="D3" s="1435" t="s">
        <v>4</v>
      </c>
      <c r="E3" s="1435" t="s">
        <v>907</v>
      </c>
      <c r="F3" s="1729" t="s">
        <v>18</v>
      </c>
      <c r="G3" s="1729" t="s">
        <v>0</v>
      </c>
      <c r="H3" s="1730" t="s">
        <v>1133</v>
      </c>
      <c r="I3" s="946" t="s">
        <v>72</v>
      </c>
    </row>
    <row r="4" spans="1:11" s="257" customFormat="1" ht="15.75">
      <c r="A4" s="275">
        <f>'Nhân công'!A4</f>
        <v>1</v>
      </c>
      <c r="B4" s="554" t="str">
        <f>'Nhân công'!B4</f>
        <v>Công tác chuẩn bị</v>
      </c>
      <c r="C4" s="275"/>
      <c r="D4" s="275"/>
      <c r="E4" s="275"/>
      <c r="F4" s="553"/>
      <c r="G4" s="553"/>
      <c r="H4" s="1731"/>
      <c r="I4" s="1521"/>
    </row>
    <row r="5" spans="1:11" s="257" customFormat="1" ht="63">
      <c r="A5" s="280" t="str">
        <f>'Nhân công'!A5</f>
        <v>1.1</v>
      </c>
      <c r="B5" s="1168" t="str">
        <f>'Nhân công'!B5</f>
        <v>Lập kế hoạch thi công chi tiết: xác định thời gian, địa điểm, khối lượng và nhân lực thực hiện của từng bước công việc; lập kế hoạch làm việc với các đơn vị có liên quan đến công tác xây dựng CSDL địa chính trên địa bàn thi công</v>
      </c>
      <c r="C5" s="280"/>
      <c r="D5" s="280"/>
      <c r="E5" s="280"/>
      <c r="F5" s="558"/>
      <c r="G5" s="558"/>
      <c r="H5" s="1732"/>
      <c r="I5" s="1733">
        <f>I6+I7</f>
        <v>3.5</v>
      </c>
    </row>
    <row r="6" spans="1:11" ht="15.75">
      <c r="A6" s="280"/>
      <c r="B6" s="281" t="s">
        <v>73</v>
      </c>
      <c r="C6" s="280" t="s">
        <v>130</v>
      </c>
      <c r="D6" s="280">
        <f>Gia_Tbi!$D$4</f>
        <v>0.4</v>
      </c>
      <c r="E6" s="280">
        <v>5</v>
      </c>
      <c r="F6" s="953">
        <f>Gia_Tbi!$F$4</f>
        <v>10000000</v>
      </c>
      <c r="G6" s="954">
        <f>Gia_Tbi!$G$4</f>
        <v>4000</v>
      </c>
      <c r="H6" s="1734">
        <v>8.0000000000000004E-4</v>
      </c>
      <c r="I6" s="956">
        <f>$G6*H6</f>
        <v>3.2</v>
      </c>
      <c r="K6" s="1518"/>
    </row>
    <row r="7" spans="1:11" ht="15.75">
      <c r="A7" s="280"/>
      <c r="B7" s="281" t="s">
        <v>24</v>
      </c>
      <c r="C7" s="280" t="s">
        <v>130</v>
      </c>
      <c r="D7" s="280">
        <f>Gia_Tbi!$D$6</f>
        <v>2.2000000000000002</v>
      </c>
      <c r="E7" s="280">
        <v>8</v>
      </c>
      <c r="F7" s="953">
        <f>Gia_Tbi!$F$6</f>
        <v>12000000</v>
      </c>
      <c r="G7" s="954">
        <f>Gia_Tbi!$G$6</f>
        <v>3000</v>
      </c>
      <c r="H7" s="1734">
        <v>1E-4</v>
      </c>
      <c r="I7" s="956">
        <f>$G7*H7</f>
        <v>0.3</v>
      </c>
    </row>
    <row r="8" spans="1:11" ht="15.75">
      <c r="A8" s="280"/>
      <c r="B8" s="281" t="s">
        <v>8</v>
      </c>
      <c r="C8" s="280" t="s">
        <v>147</v>
      </c>
      <c r="D8" s="280"/>
      <c r="E8" s="555"/>
      <c r="F8" s="953">
        <f>Gia_Tbi!$F$13</f>
        <v>1686</v>
      </c>
      <c r="G8" s="954">
        <f>Gia_Tbi!$G$13</f>
        <v>13488</v>
      </c>
      <c r="H8" s="1734">
        <v>5.0000000000000001E-4</v>
      </c>
      <c r="I8" s="956">
        <f>$G8*H8</f>
        <v>6.7439999999999998</v>
      </c>
    </row>
    <row r="9" spans="1:11" s="257" customFormat="1" ht="47.25">
      <c r="A9" s="280" t="str">
        <f>'Nhân công'!A6</f>
        <v>1.2</v>
      </c>
      <c r="B9" s="1168" t="str">
        <f>'Nhân công'!B6</f>
        <v>Chuẩn bị nhân lực, địa điểm làm việc; chuẩn bị vật tư, thiết bị, dụng cụ, phần mềm phục vụ cho công tác xây dựng CSDL địa chính.</v>
      </c>
      <c r="C9" s="1168"/>
      <c r="D9" s="1168"/>
      <c r="E9" s="1168"/>
      <c r="F9" s="1735"/>
      <c r="G9" s="1735"/>
      <c r="H9" s="1732"/>
      <c r="I9" s="1733">
        <f>I10+I11</f>
        <v>3.5</v>
      </c>
    </row>
    <row r="10" spans="1:11" ht="15.75">
      <c r="A10" s="280"/>
      <c r="B10" s="281" t="s">
        <v>73</v>
      </c>
      <c r="C10" s="280" t="s">
        <v>130</v>
      </c>
      <c r="D10" s="280">
        <f>Gia_Tbi!$D$4</f>
        <v>0.4</v>
      </c>
      <c r="E10" s="280">
        <v>5</v>
      </c>
      <c r="F10" s="953">
        <f>Gia_Tbi!$F$4</f>
        <v>10000000</v>
      </c>
      <c r="G10" s="954">
        <f>Gia_Tbi!$G$4</f>
        <v>4000</v>
      </c>
      <c r="H10" s="1734">
        <v>8.0000000000000004E-4</v>
      </c>
      <c r="I10" s="956">
        <f>$G10*H10</f>
        <v>3.2</v>
      </c>
    </row>
    <row r="11" spans="1:11" ht="15.75">
      <c r="A11" s="280"/>
      <c r="B11" s="281" t="s">
        <v>24</v>
      </c>
      <c r="C11" s="280" t="s">
        <v>130</v>
      </c>
      <c r="D11" s="280">
        <f>Gia_Tbi!$D$6</f>
        <v>2.2000000000000002</v>
      </c>
      <c r="E11" s="280">
        <v>8</v>
      </c>
      <c r="F11" s="953">
        <f>Gia_Tbi!$F$6</f>
        <v>12000000</v>
      </c>
      <c r="G11" s="954">
        <f>Gia_Tbi!$G$6</f>
        <v>3000</v>
      </c>
      <c r="H11" s="1734">
        <v>1E-4</v>
      </c>
      <c r="I11" s="956">
        <f>$G11*H11</f>
        <v>0.3</v>
      </c>
    </row>
    <row r="12" spans="1:11" ht="16.5" customHeight="1">
      <c r="A12" s="280"/>
      <c r="B12" s="281" t="s">
        <v>8</v>
      </c>
      <c r="C12" s="280" t="s">
        <v>147</v>
      </c>
      <c r="D12" s="280"/>
      <c r="E12" s="555"/>
      <c r="F12" s="953">
        <f>Gia_Tbi!$F$13</f>
        <v>1686</v>
      </c>
      <c r="G12" s="954">
        <f>Gia_Tbi!$G$13</f>
        <v>13488</v>
      </c>
      <c r="H12" s="1734">
        <v>5.0000000000000001E-4</v>
      </c>
      <c r="I12" s="956">
        <f>$G12*H12</f>
        <v>6.7439999999999998</v>
      </c>
    </row>
    <row r="13" spans="1:11" s="257" customFormat="1" ht="15.75" hidden="1">
      <c r="A13" s="280" t="e">
        <f>'Nhân công'!#REF!</f>
        <v>#REF!</v>
      </c>
      <c r="B13" s="1168" t="e">
        <f>'Nhân công'!#REF!</f>
        <v>#REF!</v>
      </c>
      <c r="C13" s="275"/>
      <c r="D13" s="275"/>
      <c r="E13" s="275"/>
      <c r="F13" s="553"/>
      <c r="G13" s="553"/>
      <c r="H13" s="1731"/>
      <c r="I13" s="1521" t="e">
        <f>I14+I15</f>
        <v>#REF!</v>
      </c>
    </row>
    <row r="14" spans="1:11" ht="15.75" hidden="1">
      <c r="A14" s="280"/>
      <c r="B14" s="281" t="s">
        <v>73</v>
      </c>
      <c r="C14" s="280" t="s">
        <v>130</v>
      </c>
      <c r="D14" s="280">
        <f>Gia_Tbi!$D$4</f>
        <v>0.4</v>
      </c>
      <c r="E14" s="280">
        <v>5</v>
      </c>
      <c r="F14" s="953">
        <f>Gia_Tbi!$F$4</f>
        <v>10000000</v>
      </c>
      <c r="G14" s="954">
        <f>Gia_Tbi!$G$4</f>
        <v>4000</v>
      </c>
      <c r="H14" s="1734" t="e">
        <v>#REF!</v>
      </c>
      <c r="I14" s="956" t="e">
        <f>$G14*H14</f>
        <v>#REF!</v>
      </c>
    </row>
    <row r="15" spans="1:11" ht="15.75" hidden="1">
      <c r="A15" s="280"/>
      <c r="B15" s="281" t="s">
        <v>24</v>
      </c>
      <c r="C15" s="280" t="s">
        <v>130</v>
      </c>
      <c r="D15" s="280">
        <f>Gia_Tbi!$D$6</f>
        <v>2.2000000000000002</v>
      </c>
      <c r="E15" s="280">
        <v>8</v>
      </c>
      <c r="F15" s="953">
        <f>Gia_Tbi!$F$6</f>
        <v>12000000</v>
      </c>
      <c r="G15" s="954">
        <f>Gia_Tbi!$G$6</f>
        <v>3000</v>
      </c>
      <c r="H15" s="1734" t="e">
        <v>#REF!</v>
      </c>
      <c r="I15" s="956" t="e">
        <f>$G15*H15</f>
        <v>#REF!</v>
      </c>
    </row>
    <row r="16" spans="1:11" ht="15.75" hidden="1">
      <c r="A16" s="280"/>
      <c r="B16" s="281" t="s">
        <v>8</v>
      </c>
      <c r="C16" s="280" t="s">
        <v>147</v>
      </c>
      <c r="D16" s="280">
        <v>0</v>
      </c>
      <c r="E16" s="555">
        <v>1</v>
      </c>
      <c r="F16" s="953">
        <f>Gia_Tbi!$F$13</f>
        <v>1686</v>
      </c>
      <c r="G16" s="954">
        <f>Gia_Tbi!$G$13</f>
        <v>13488</v>
      </c>
      <c r="H16" s="1734" t="e">
        <v>#REF!</v>
      </c>
      <c r="I16" s="956" t="e">
        <f>$G16*H16</f>
        <v>#REF!</v>
      </c>
    </row>
    <row r="17" spans="1:12" s="257" customFormat="1" ht="15.75">
      <c r="A17" s="275">
        <f>'Nhân công'!A7</f>
        <v>2</v>
      </c>
      <c r="B17" s="554" t="str">
        <f>'Nhân công'!B7</f>
        <v>Thu thập tài liệu, dữ liệu</v>
      </c>
      <c r="C17" s="275"/>
      <c r="D17" s="275"/>
      <c r="E17" s="275"/>
      <c r="F17" s="553"/>
      <c r="G17" s="553"/>
      <c r="H17" s="1731"/>
      <c r="I17" s="1521">
        <f>I18+I19</f>
        <v>12.9</v>
      </c>
      <c r="L17" s="1789"/>
    </row>
    <row r="18" spans="1:12" ht="15.75">
      <c r="A18" s="280"/>
      <c r="B18" s="281" t="s">
        <v>73</v>
      </c>
      <c r="C18" s="280" t="s">
        <v>130</v>
      </c>
      <c r="D18" s="280">
        <f>Gia_Tbi!$D$4</f>
        <v>0.4</v>
      </c>
      <c r="E18" s="280">
        <v>5</v>
      </c>
      <c r="F18" s="953">
        <f>Gia_Tbi!$F$4</f>
        <v>10000000</v>
      </c>
      <c r="G18" s="954">
        <f>Gia_Tbi!$G$4</f>
        <v>4000</v>
      </c>
      <c r="H18" s="1734">
        <v>3.0000000000000001E-3</v>
      </c>
      <c r="I18" s="956">
        <f>$G18*H18</f>
        <v>12</v>
      </c>
      <c r="K18" s="1518"/>
      <c r="L18" s="286"/>
    </row>
    <row r="19" spans="1:12" ht="15.75">
      <c r="A19" s="280"/>
      <c r="B19" s="281" t="s">
        <v>24</v>
      </c>
      <c r="C19" s="280" t="s">
        <v>130</v>
      </c>
      <c r="D19" s="280">
        <f>Gia_Tbi!$D$6</f>
        <v>2.2000000000000002</v>
      </c>
      <c r="E19" s="280">
        <v>8</v>
      </c>
      <c r="F19" s="953">
        <f>Gia_Tbi!$F$6</f>
        <v>12000000</v>
      </c>
      <c r="G19" s="954">
        <f>Gia_Tbi!$G$6</f>
        <v>3000</v>
      </c>
      <c r="H19" s="1734">
        <v>2.9999999999999997E-4</v>
      </c>
      <c r="I19" s="956">
        <f>$G19*H19</f>
        <v>0.89999999999999991</v>
      </c>
    </row>
    <row r="20" spans="1:12" ht="15.75">
      <c r="A20" s="280"/>
      <c r="B20" s="281" t="s">
        <v>8</v>
      </c>
      <c r="C20" s="280" t="s">
        <v>147</v>
      </c>
      <c r="D20" s="280"/>
      <c r="E20" s="555"/>
      <c r="F20" s="953">
        <f>Gia_Tbi!$F$13</f>
        <v>1686</v>
      </c>
      <c r="G20" s="954">
        <f>Gia_Tbi!$G$13</f>
        <v>13488</v>
      </c>
      <c r="H20" s="1734">
        <v>1.8E-3</v>
      </c>
      <c r="I20" s="956">
        <f>$G20*H20</f>
        <v>24.278399999999998</v>
      </c>
    </row>
    <row r="21" spans="1:12" s="257" customFormat="1" ht="15.75">
      <c r="A21" s="275">
        <f>'Nhân công'!A8</f>
        <v>3</v>
      </c>
      <c r="B21" s="554" t="str">
        <f>'Nhân công'!B8</f>
        <v xml:space="preserve">Rà soát, đánh giá, phân loại và sắp xếp tài liệu, dữ liệu </v>
      </c>
      <c r="C21" s="275"/>
      <c r="D21" s="275"/>
      <c r="E21" s="275"/>
      <c r="F21" s="553"/>
      <c r="G21" s="553"/>
      <c r="H21" s="1731"/>
      <c r="I21" s="1521"/>
    </row>
    <row r="22" spans="1:12" s="257" customFormat="1" ht="15.75">
      <c r="A22" s="280" t="str">
        <f>'Nhân công'!A9</f>
        <v>3.1</v>
      </c>
      <c r="B22" s="1168" t="str">
        <f>'Nhân công'!B9</f>
        <v>Rà soát, đánh giá tài liệu, dữ liệu; lập báo cáo kết quả thực hiện</v>
      </c>
      <c r="C22" s="275"/>
      <c r="D22" s="275"/>
      <c r="E22" s="275"/>
      <c r="F22" s="553"/>
      <c r="G22" s="553"/>
      <c r="H22" s="1731"/>
      <c r="I22" s="1521">
        <f>I23+I24</f>
        <v>18.399999999999999</v>
      </c>
    </row>
    <row r="23" spans="1:12" ht="15.75">
      <c r="A23" s="280"/>
      <c r="B23" s="281" t="s">
        <v>73</v>
      </c>
      <c r="C23" s="280" t="s">
        <v>130</v>
      </c>
      <c r="D23" s="280">
        <f>Gia_Tbi!$D$4</f>
        <v>0.4</v>
      </c>
      <c r="E23" s="280">
        <v>5</v>
      </c>
      <c r="F23" s="953">
        <f>Gia_Tbi!$F$4</f>
        <v>10000000</v>
      </c>
      <c r="G23" s="954">
        <f>Gia_Tbi!$G$4</f>
        <v>4000</v>
      </c>
      <c r="H23" s="1734">
        <v>4.3E-3</v>
      </c>
      <c r="I23" s="956">
        <f>$G23*H23</f>
        <v>17.2</v>
      </c>
      <c r="K23" s="1518"/>
    </row>
    <row r="24" spans="1:12" ht="15.75">
      <c r="A24" s="280"/>
      <c r="B24" s="281" t="s">
        <v>24</v>
      </c>
      <c r="C24" s="280" t="s">
        <v>130</v>
      </c>
      <c r="D24" s="280">
        <f>Gia_Tbi!$D$6</f>
        <v>2.2000000000000002</v>
      </c>
      <c r="E24" s="280">
        <v>8</v>
      </c>
      <c r="F24" s="953">
        <f>Gia_Tbi!$F$6</f>
        <v>12000000</v>
      </c>
      <c r="G24" s="954">
        <f>Gia_Tbi!$G$6</f>
        <v>3000</v>
      </c>
      <c r="H24" s="1734">
        <v>4.0000000000000002E-4</v>
      </c>
      <c r="I24" s="956">
        <f>$G24*H24</f>
        <v>1.2</v>
      </c>
    </row>
    <row r="25" spans="1:12" ht="15.75">
      <c r="A25" s="280"/>
      <c r="B25" s="281" t="s">
        <v>8</v>
      </c>
      <c r="C25" s="280" t="s">
        <v>147</v>
      </c>
      <c r="D25" s="280"/>
      <c r="E25" s="555"/>
      <c r="F25" s="953">
        <f>Gia_Tbi!$F$13</f>
        <v>1686</v>
      </c>
      <c r="G25" s="954">
        <f>Gia_Tbi!$G$13</f>
        <v>13488</v>
      </c>
      <c r="H25" s="1734">
        <v>2.5000000000000001E-3</v>
      </c>
      <c r="I25" s="956">
        <f>$G25*H25</f>
        <v>33.72</v>
      </c>
    </row>
    <row r="26" spans="1:12" s="257" customFormat="1" ht="15.75">
      <c r="A26" s="280" t="str">
        <f>'Nhân công'!A10</f>
        <v>3.2</v>
      </c>
      <c r="B26" s="1168" t="str">
        <f>'Nhân công'!B10</f>
        <v>Phân loại thửa đất; lập biểu tổng hợp</v>
      </c>
      <c r="C26" s="275"/>
      <c r="D26" s="275"/>
      <c r="E26" s="275"/>
      <c r="F26" s="553"/>
      <c r="G26" s="553"/>
      <c r="H26" s="1731"/>
      <c r="I26" s="1521">
        <f>I27+I28</f>
        <v>21.2</v>
      </c>
    </row>
    <row r="27" spans="1:12" ht="15.75">
      <c r="A27" s="280"/>
      <c r="B27" s="281" t="s">
        <v>73</v>
      </c>
      <c r="C27" s="280" t="s">
        <v>130</v>
      </c>
      <c r="D27" s="280">
        <f>Gia_Tbi!$D$4</f>
        <v>0.4</v>
      </c>
      <c r="E27" s="280">
        <v>5</v>
      </c>
      <c r="F27" s="953">
        <f>Gia_Tbi!$F$4</f>
        <v>10000000</v>
      </c>
      <c r="G27" s="954">
        <f>Gia_Tbi!$G$4</f>
        <v>4000</v>
      </c>
      <c r="H27" s="1734">
        <v>5.0000000000000001E-3</v>
      </c>
      <c r="I27" s="956">
        <f>$G27*H27</f>
        <v>20</v>
      </c>
      <c r="K27" s="1518"/>
    </row>
    <row r="28" spans="1:12" ht="15.75">
      <c r="A28" s="280"/>
      <c r="B28" s="281" t="s">
        <v>24</v>
      </c>
      <c r="C28" s="280" t="s">
        <v>130</v>
      </c>
      <c r="D28" s="280">
        <f>Gia_Tbi!$D$6</f>
        <v>2.2000000000000002</v>
      </c>
      <c r="E28" s="280">
        <v>8</v>
      </c>
      <c r="F28" s="953">
        <f>Gia_Tbi!$F$6</f>
        <v>12000000</v>
      </c>
      <c r="G28" s="954">
        <f>Gia_Tbi!$G$6</f>
        <v>3000</v>
      </c>
      <c r="H28" s="1734">
        <v>4.0000000000000002E-4</v>
      </c>
      <c r="I28" s="956">
        <f>$G28*H28</f>
        <v>1.2</v>
      </c>
    </row>
    <row r="29" spans="1:12" ht="15.75">
      <c r="A29" s="280"/>
      <c r="B29" s="281" t="s">
        <v>8</v>
      </c>
      <c r="C29" s="280" t="s">
        <v>147</v>
      </c>
      <c r="D29" s="280"/>
      <c r="E29" s="555"/>
      <c r="F29" s="953">
        <f>Gia_Tbi!$F$13</f>
        <v>1686</v>
      </c>
      <c r="G29" s="954">
        <f>Gia_Tbi!$G$13</f>
        <v>13488</v>
      </c>
      <c r="H29" s="1734">
        <v>2.8999999999999998E-3</v>
      </c>
      <c r="I29" s="956">
        <f>$G29*H29</f>
        <v>39.115199999999994</v>
      </c>
    </row>
    <row r="30" spans="1:12" s="257" customFormat="1" ht="126">
      <c r="A30" s="1736" t="str">
        <f>'Nhân công'!A11</f>
        <v>3.3</v>
      </c>
      <c r="B30" s="1737" t="str">
        <f>'Nhân công'!B11</f>
        <v>Làm sạch, sắp xếp và đánh số thứ tự theo quy định về hồ sơ địa chính đối với Hồ sơ đăng ký đất đai, tài sản gắn liền với đất (Chỉ thực hiện đối với các thửa đã được cấp GCN; trường hợp tổ chức xây dựng CSDL đất đai kết hợp với tổ chức sắp xếp lại kho lưu trữ tài liệu đất đai thì định mức sắp xếp kho lưu trữ được tính theo định mức kinh tế - kỹ thuật về lưu trữ tài liệu đất đai và định mức xây dựng CSDL đất đai không tính nội dung công việc này)</v>
      </c>
      <c r="C30" s="275"/>
      <c r="D30" s="275"/>
      <c r="E30" s="275"/>
      <c r="F30" s="553"/>
      <c r="G30" s="553"/>
      <c r="H30" s="1731"/>
      <c r="I30" s="1521">
        <f>I31+I32</f>
        <v>23.1</v>
      </c>
    </row>
    <row r="31" spans="1:12" ht="15.75">
      <c r="A31" s="280"/>
      <c r="B31" s="281" t="s">
        <v>73</v>
      </c>
      <c r="C31" s="280" t="s">
        <v>130</v>
      </c>
      <c r="D31" s="280">
        <f>Gia_Tbi!$D$4</f>
        <v>0.4</v>
      </c>
      <c r="E31" s="280">
        <v>5</v>
      </c>
      <c r="F31" s="953">
        <f>Gia_Tbi!$F$4</f>
        <v>10000000</v>
      </c>
      <c r="G31" s="954">
        <f>Gia_Tbi!$G$4</f>
        <v>4000</v>
      </c>
      <c r="H31" s="1734">
        <v>5.4000000000000003E-3</v>
      </c>
      <c r="I31" s="956">
        <f>$G31*H31</f>
        <v>21.6</v>
      </c>
      <c r="K31" s="1518"/>
    </row>
    <row r="32" spans="1:12" ht="15.75">
      <c r="A32" s="280"/>
      <c r="B32" s="281" t="s">
        <v>24</v>
      </c>
      <c r="C32" s="280" t="s">
        <v>130</v>
      </c>
      <c r="D32" s="280">
        <f>Gia_Tbi!$D$6</f>
        <v>2.2000000000000002</v>
      </c>
      <c r="E32" s="280">
        <v>8</v>
      </c>
      <c r="F32" s="953">
        <f>Gia_Tbi!$F$6</f>
        <v>12000000</v>
      </c>
      <c r="G32" s="954">
        <f>Gia_Tbi!$G$6</f>
        <v>3000</v>
      </c>
      <c r="H32" s="1734">
        <v>5.0000000000000001E-4</v>
      </c>
      <c r="I32" s="956">
        <f>$G32*H32</f>
        <v>1.5</v>
      </c>
    </row>
    <row r="33" spans="1:11" ht="15.75">
      <c r="A33" s="280"/>
      <c r="B33" s="281" t="s">
        <v>8</v>
      </c>
      <c r="C33" s="280" t="s">
        <v>147</v>
      </c>
      <c r="D33" s="280"/>
      <c r="E33" s="555"/>
      <c r="F33" s="953">
        <f>Gia_Tbi!$F$13</f>
        <v>1686</v>
      </c>
      <c r="G33" s="954">
        <f>Gia_Tbi!$G$13</f>
        <v>13488</v>
      </c>
      <c r="H33" s="1734">
        <v>3.2000000000000002E-3</v>
      </c>
      <c r="I33" s="956">
        <f>$G33*H33</f>
        <v>43.1616</v>
      </c>
    </row>
    <row r="34" spans="1:11" s="257" customFormat="1" ht="15.75">
      <c r="A34" s="275">
        <f>'Nhân công'!A12</f>
        <v>4</v>
      </c>
      <c r="B34" s="554" t="str">
        <f>'Nhân công'!B12</f>
        <v>Xây dựng dữ liệu không gian địa chính</v>
      </c>
      <c r="C34" s="275"/>
      <c r="D34" s="275"/>
      <c r="E34" s="275"/>
      <c r="F34" s="553"/>
      <c r="G34" s="553"/>
      <c r="H34" s="1731"/>
      <c r="I34" s="1521"/>
    </row>
    <row r="35" spans="1:11" s="257" customFormat="1" ht="15.75">
      <c r="A35" s="1736" t="str">
        <f>'Nhân công'!A13</f>
        <v>4.1</v>
      </c>
      <c r="B35" s="1737" t="str">
        <f>'Nhân công'!B13</f>
        <v>Chuẩn hóa các lớp đối tượng không gian địa chính</v>
      </c>
      <c r="C35" s="275"/>
      <c r="D35" s="275"/>
      <c r="E35" s="275"/>
      <c r="F35" s="553"/>
      <c r="G35" s="553"/>
      <c r="H35" s="1731"/>
      <c r="I35" s="1521"/>
    </row>
    <row r="36" spans="1:11" s="257" customFormat="1" ht="47.25">
      <c r="A36" s="1736" t="str">
        <f>'Nhân công'!A14</f>
        <v>4.1.1</v>
      </c>
      <c r="B36" s="1737" t="str">
        <f>'Nhân công'!B14</f>
        <v>Lập bảng đối chiếu giữa lớp đối tượng không gian địa chính với nội dung tương ứng trong bản đồ địa chính để tách, lọc các đối tượng từ nội dung bản đồ địa chính</v>
      </c>
      <c r="C36" s="275"/>
      <c r="D36" s="275"/>
      <c r="E36" s="275"/>
      <c r="F36" s="553"/>
      <c r="G36" s="553"/>
      <c r="H36" s="1731"/>
      <c r="I36" s="1521">
        <f>I37+I38+I39</f>
        <v>63.1</v>
      </c>
    </row>
    <row r="37" spans="1:11" ht="15.75">
      <c r="A37" s="280"/>
      <c r="B37" s="281" t="s">
        <v>73</v>
      </c>
      <c r="C37" s="280" t="s">
        <v>130</v>
      </c>
      <c r="D37" s="280">
        <f>Gia_Tbi!$D$4</f>
        <v>0.4</v>
      </c>
      <c r="E37" s="280">
        <v>5</v>
      </c>
      <c r="F37" s="953">
        <f>Gia_Tbi!$F$4</f>
        <v>10000000</v>
      </c>
      <c r="G37" s="954">
        <f>Gia_Tbi!$G$4</f>
        <v>4000</v>
      </c>
      <c r="H37" s="1734">
        <v>1E-3</v>
      </c>
      <c r="I37" s="956">
        <f>$G37*H37</f>
        <v>4</v>
      </c>
      <c r="K37" s="1518"/>
    </row>
    <row r="38" spans="1:11" ht="15.75">
      <c r="A38" s="280"/>
      <c r="B38" s="281" t="str">
        <f>Gia_Phanmem!B7</f>
        <v xml:space="preserve">Phần mềm biên tập bản đồ </v>
      </c>
      <c r="C38" s="280" t="s">
        <v>132</v>
      </c>
      <c r="D38" s="280"/>
      <c r="E38" s="280">
        <f>Gia_Phanmem!E7</f>
        <v>5</v>
      </c>
      <c r="F38" s="561">
        <f>Gia_Phanmem!$F$7</f>
        <v>147000000</v>
      </c>
      <c r="G38" s="561">
        <f>Gia_Phanmem!G7</f>
        <v>58800</v>
      </c>
      <c r="H38" s="1734">
        <v>1E-3</v>
      </c>
      <c r="I38" s="956">
        <f t="shared" ref="I38" si="0">$G38*H38</f>
        <v>58.800000000000004</v>
      </c>
    </row>
    <row r="39" spans="1:11" ht="15.75">
      <c r="A39" s="280"/>
      <c r="B39" s="281" t="s">
        <v>24</v>
      </c>
      <c r="C39" s="280" t="s">
        <v>130</v>
      </c>
      <c r="D39" s="280">
        <f>Gia_Tbi!$D$6</f>
        <v>2.2000000000000002</v>
      </c>
      <c r="E39" s="280">
        <v>8</v>
      </c>
      <c r="F39" s="953">
        <f>Gia_Tbi!$F$6</f>
        <v>12000000</v>
      </c>
      <c r="G39" s="954">
        <f>Gia_Tbi!$G$6</f>
        <v>3000</v>
      </c>
      <c r="H39" s="1734">
        <v>1E-4</v>
      </c>
      <c r="I39" s="956">
        <f>$G39*H39</f>
        <v>0.3</v>
      </c>
    </row>
    <row r="40" spans="1:11" ht="15.75">
      <c r="A40" s="280"/>
      <c r="B40" s="281" t="s">
        <v>8</v>
      </c>
      <c r="C40" s="280" t="s">
        <v>147</v>
      </c>
      <c r="D40" s="280"/>
      <c r="E40" s="555"/>
      <c r="F40" s="953">
        <f>Gia_Tbi!$F$13</f>
        <v>1686</v>
      </c>
      <c r="G40" s="954">
        <f>Gia_Tbi!$G$13</f>
        <v>13488</v>
      </c>
      <c r="H40" s="1734">
        <v>5.9999999999999995E-4</v>
      </c>
      <c r="I40" s="956">
        <f>$G40*H40</f>
        <v>8.0927999999999987</v>
      </c>
      <c r="K40" s="1518"/>
    </row>
    <row r="41" spans="1:11" s="257" customFormat="1" ht="31.5">
      <c r="A41" s="1736" t="str">
        <f>'Nhân công'!A15</f>
        <v>4.1.2</v>
      </c>
      <c r="B41" s="1737" t="str">
        <f>'Nhân công'!B15</f>
        <v>Chuẩn hóa các lớp đối tượng không gian địa chính chưa phù hợp với quy định kỹ thuật về CSDL đất đai</v>
      </c>
      <c r="C41" s="275"/>
      <c r="D41" s="275"/>
      <c r="E41" s="275"/>
      <c r="F41" s="553"/>
      <c r="G41" s="553"/>
      <c r="H41" s="1731"/>
      <c r="I41" s="1521">
        <f>I42+I43+I44</f>
        <v>340.62000000000006</v>
      </c>
    </row>
    <row r="42" spans="1:11" ht="15.75">
      <c r="A42" s="280"/>
      <c r="B42" s="281" t="s">
        <v>73</v>
      </c>
      <c r="C42" s="280" t="s">
        <v>130</v>
      </c>
      <c r="D42" s="280">
        <f>Gia_Tbi!$D$4</f>
        <v>0.4</v>
      </c>
      <c r="E42" s="280">
        <v>5</v>
      </c>
      <c r="F42" s="953">
        <f>Gia_Tbi!$F$4</f>
        <v>10000000</v>
      </c>
      <c r="G42" s="954">
        <f>Gia_Tbi!$G$4</f>
        <v>4000</v>
      </c>
      <c r="H42" s="1734">
        <v>5.4000000000000003E-3</v>
      </c>
      <c r="I42" s="956">
        <f>$G42*H42</f>
        <v>21.6</v>
      </c>
      <c r="K42" s="1518">
        <f>D42*H42+D44*H44</f>
        <v>3.2599999999999999E-3</v>
      </c>
    </row>
    <row r="43" spans="1:11" ht="15.75">
      <c r="A43" s="280"/>
      <c r="B43" s="281" t="str">
        <f>B38</f>
        <v xml:space="preserve">Phần mềm biên tập bản đồ </v>
      </c>
      <c r="C43" s="280" t="str">
        <f>C38</f>
        <v>Bộ</v>
      </c>
      <c r="D43" s="280"/>
      <c r="E43" s="280">
        <f>E38</f>
        <v>5</v>
      </c>
      <c r="F43" s="561">
        <f>Gia_Phanmem!$F$7</f>
        <v>147000000</v>
      </c>
      <c r="G43" s="561">
        <f>G38</f>
        <v>58800</v>
      </c>
      <c r="H43" s="1734">
        <v>5.4000000000000003E-3</v>
      </c>
      <c r="I43" s="956">
        <f>$G43*H43</f>
        <v>317.52000000000004</v>
      </c>
    </row>
    <row r="44" spans="1:11" ht="15.75">
      <c r="A44" s="280"/>
      <c r="B44" s="281" t="s">
        <v>24</v>
      </c>
      <c r="C44" s="280" t="s">
        <v>130</v>
      </c>
      <c r="D44" s="280">
        <f>Gia_Tbi!$D$6</f>
        <v>2.2000000000000002</v>
      </c>
      <c r="E44" s="280">
        <v>8</v>
      </c>
      <c r="F44" s="953">
        <f>Gia_Tbi!$F$6</f>
        <v>12000000</v>
      </c>
      <c r="G44" s="954">
        <f>Gia_Tbi!$G$6</f>
        <v>3000</v>
      </c>
      <c r="H44" s="1734">
        <v>5.0000000000000001E-4</v>
      </c>
      <c r="I44" s="956">
        <f>$G44*H44</f>
        <v>1.5</v>
      </c>
    </row>
    <row r="45" spans="1:11" ht="15.75">
      <c r="A45" s="280"/>
      <c r="B45" s="281" t="s">
        <v>8</v>
      </c>
      <c r="C45" s="280" t="s">
        <v>147</v>
      </c>
      <c r="D45" s="280"/>
      <c r="E45" s="555"/>
      <c r="F45" s="953">
        <f>Gia_Tbi!$F$13</f>
        <v>1686</v>
      </c>
      <c r="G45" s="954">
        <f>Gia_Tbi!$G$13</f>
        <v>13488</v>
      </c>
      <c r="H45" s="1734">
        <v>3.2000000000000002E-3</v>
      </c>
      <c r="I45" s="956">
        <f>$G45*H45</f>
        <v>43.1616</v>
      </c>
    </row>
    <row r="46" spans="1:11" s="257" customFormat="1" ht="47.25">
      <c r="A46" s="1736" t="str">
        <f>'Nhân công'!A16</f>
        <v>4.1.3</v>
      </c>
      <c r="B46" s="1737" t="str">
        <f>'Nhân công'!B16</f>
        <v>Rà soát chuẩn hóa thông tin thuộc tính cho từng đối tượng không gian địa chính theo quy định kỹ thuật về CSDL đất đai</v>
      </c>
      <c r="C46" s="275"/>
      <c r="D46" s="275"/>
      <c r="E46" s="275"/>
      <c r="F46" s="553"/>
      <c r="G46" s="553"/>
      <c r="H46" s="1731"/>
      <c r="I46" s="1521">
        <f>I47+I48+I49</f>
        <v>630.4</v>
      </c>
    </row>
    <row r="47" spans="1:11" ht="15.75">
      <c r="A47" s="280"/>
      <c r="B47" s="281" t="s">
        <v>73</v>
      </c>
      <c r="C47" s="280" t="s">
        <v>130</v>
      </c>
      <c r="D47" s="280">
        <f>Gia_Tbi!$D$4</f>
        <v>0.4</v>
      </c>
      <c r="E47" s="280">
        <v>5</v>
      </c>
      <c r="F47" s="953">
        <f>Gia_Tbi!$F$4</f>
        <v>10000000</v>
      </c>
      <c r="G47" s="954">
        <f>Gia_Tbi!$G$4</f>
        <v>4000</v>
      </c>
      <c r="H47" s="1734">
        <v>0.01</v>
      </c>
      <c r="I47" s="956">
        <f>$G47*H47</f>
        <v>40</v>
      </c>
      <c r="K47" s="1518">
        <f>D47*H47+D49*H49</f>
        <v>5.7600000000000004E-3</v>
      </c>
    </row>
    <row r="48" spans="1:11" ht="15.75">
      <c r="A48" s="280"/>
      <c r="B48" s="281" t="str">
        <f>B43</f>
        <v xml:space="preserve">Phần mềm biên tập bản đồ </v>
      </c>
      <c r="C48" s="280" t="s">
        <v>132</v>
      </c>
      <c r="D48" s="280"/>
      <c r="E48" s="280">
        <f>E43</f>
        <v>5</v>
      </c>
      <c r="F48" s="561">
        <f>Gia_Phanmem!$F$7</f>
        <v>147000000</v>
      </c>
      <c r="G48" s="561">
        <f>G43</f>
        <v>58800</v>
      </c>
      <c r="H48" s="1734">
        <v>0.01</v>
      </c>
      <c r="I48" s="956">
        <f>$G48*H48</f>
        <v>588</v>
      </c>
    </row>
    <row r="49" spans="1:9" ht="15.75">
      <c r="A49" s="280"/>
      <c r="B49" s="281" t="s">
        <v>24</v>
      </c>
      <c r="C49" s="280" t="s">
        <v>130</v>
      </c>
      <c r="D49" s="280">
        <f>Gia_Tbi!$D$6</f>
        <v>2.2000000000000002</v>
      </c>
      <c r="E49" s="280">
        <v>8</v>
      </c>
      <c r="F49" s="953">
        <f>Gia_Tbi!$F$6</f>
        <v>12000000</v>
      </c>
      <c r="G49" s="954">
        <f>Gia_Tbi!$G$6</f>
        <v>3000</v>
      </c>
      <c r="H49" s="1734">
        <v>8.0000000000000004E-4</v>
      </c>
      <c r="I49" s="956">
        <f>$G49*H49</f>
        <v>2.4</v>
      </c>
    </row>
    <row r="50" spans="1:9" ht="15.75">
      <c r="A50" s="280"/>
      <c r="B50" s="281" t="s">
        <v>8</v>
      </c>
      <c r="C50" s="280" t="s">
        <v>147</v>
      </c>
      <c r="D50" s="280"/>
      <c r="E50" s="555"/>
      <c r="F50" s="953">
        <f>Gia_Tbi!$F$13</f>
        <v>1686</v>
      </c>
      <c r="G50" s="954">
        <f>Gia_Tbi!$G$13</f>
        <v>13488</v>
      </c>
      <c r="H50" s="1734">
        <v>5.7999999999999996E-3</v>
      </c>
      <c r="I50" s="956">
        <f>$G50*H50</f>
        <v>78.230399999999989</v>
      </c>
    </row>
    <row r="51" spans="1:9" s="257" customFormat="1" ht="47.25">
      <c r="A51" s="1736" t="str">
        <f>'Nhân công'!A17</f>
        <v>4.2</v>
      </c>
      <c r="B51" s="1737" t="str">
        <f>'Nhân công'!B17</f>
        <v>Chuyển đổi các lớp đối tượng không gian địa chính từ tệp (File) bản đồ số vào CSDL theo phạm vi đơn vị hành chính cấp xã</v>
      </c>
      <c r="C51" s="275"/>
      <c r="D51" s="275"/>
      <c r="E51" s="275"/>
      <c r="F51" s="553"/>
      <c r="G51" s="553"/>
      <c r="H51" s="1731"/>
      <c r="I51" s="1521">
        <f>SUM(I52:I56)</f>
        <v>101.87999999999998</v>
      </c>
    </row>
    <row r="52" spans="1:9" ht="15.75">
      <c r="A52" s="280"/>
      <c r="B52" s="281" t="s">
        <v>73</v>
      </c>
      <c r="C52" s="280" t="s">
        <v>130</v>
      </c>
      <c r="D52" s="280">
        <f>Gia_Tbi!$D$4</f>
        <v>0.4</v>
      </c>
      <c r="E52" s="280">
        <v>5</v>
      </c>
      <c r="F52" s="953">
        <f>Gia_Tbi!$F$4</f>
        <v>10000000</v>
      </c>
      <c r="G52" s="954">
        <f>Gia_Tbi!$G$4</f>
        <v>4000</v>
      </c>
      <c r="H52" s="1734">
        <v>1.1999999999999999E-3</v>
      </c>
      <c r="I52" s="956">
        <f>$G52*H52</f>
        <v>4.8</v>
      </c>
    </row>
    <row r="53" spans="1:9" ht="15.75">
      <c r="A53" s="280"/>
      <c r="B53" s="281" t="str">
        <f>B48</f>
        <v xml:space="preserve">Phần mềm biên tập bản đồ </v>
      </c>
      <c r="C53" s="280" t="str">
        <f>C48</f>
        <v>Bộ</v>
      </c>
      <c r="D53" s="280"/>
      <c r="E53" s="280">
        <f>E48</f>
        <v>5</v>
      </c>
      <c r="F53" s="561">
        <f>Gia_Phanmem!$F$7</f>
        <v>147000000</v>
      </c>
      <c r="G53" s="1738">
        <f>G48</f>
        <v>58800</v>
      </c>
      <c r="H53" s="1739">
        <v>1.1999999999999999E-3</v>
      </c>
      <c r="I53" s="956">
        <f t="shared" ref="I53" si="1">$G53*H53</f>
        <v>70.559999999999988</v>
      </c>
    </row>
    <row r="54" spans="1:9" ht="15.75">
      <c r="A54" s="280"/>
      <c r="B54" s="281" t="s">
        <v>24</v>
      </c>
      <c r="C54" s="280" t="s">
        <v>130</v>
      </c>
      <c r="D54" s="280">
        <f>Gia_Tbi!$D$6</f>
        <v>2.2000000000000002</v>
      </c>
      <c r="E54" s="280">
        <v>8</v>
      </c>
      <c r="F54" s="953">
        <f>Gia_Tbi!$F$6</f>
        <v>12000000</v>
      </c>
      <c r="G54" s="1738">
        <f>Gia_Tbi!$G$6</f>
        <v>3000</v>
      </c>
      <c r="H54" s="1734">
        <v>1E-4</v>
      </c>
      <c r="I54" s="956">
        <f>$G54*H54</f>
        <v>0.3</v>
      </c>
    </row>
    <row r="55" spans="1:9" s="257" customFormat="1" ht="15.75">
      <c r="A55" s="1736"/>
      <c r="B55" s="1436" t="s">
        <v>1041</v>
      </c>
      <c r="C55" s="280" t="s">
        <v>130</v>
      </c>
      <c r="D55" s="1437">
        <f>Gia_Tbi!D10</f>
        <v>1</v>
      </c>
      <c r="E55" s="1437">
        <f>Gia_Tbi!E10</f>
        <v>10</v>
      </c>
      <c r="F55" s="558">
        <f>Gia_Tbi!$F$10</f>
        <v>80000000</v>
      </c>
      <c r="G55" s="1738">
        <f>Gia_Tbi!G10</f>
        <v>16000</v>
      </c>
      <c r="H55" s="1740">
        <v>2.9999999999999997E-4</v>
      </c>
      <c r="I55" s="956">
        <f>$G55*H55</f>
        <v>4.8</v>
      </c>
    </row>
    <row r="56" spans="1:9" s="257" customFormat="1" ht="15.75">
      <c r="A56" s="1437"/>
      <c r="B56" s="1436" t="str">
        <f>Gia_Phanmem!B6</f>
        <v>Hệ quản trị dữ liệu không gian</v>
      </c>
      <c r="C56" s="1437" t="s">
        <v>132</v>
      </c>
      <c r="D56" s="1437"/>
      <c r="E56" s="1437">
        <f>Gia_Phanmem!E6</f>
        <v>10</v>
      </c>
      <c r="F56" s="561">
        <f>Gia_Phanmem!$F$6</f>
        <v>357000000</v>
      </c>
      <c r="G56" s="1741">
        <f>Gia_Phanmem!G6</f>
        <v>71400</v>
      </c>
      <c r="H56" s="1740">
        <v>2.9999999999999997E-4</v>
      </c>
      <c r="I56" s="956">
        <f>$G56*H56</f>
        <v>21.419999999999998</v>
      </c>
    </row>
    <row r="57" spans="1:9" ht="15.75">
      <c r="A57" s="280"/>
      <c r="B57" s="281" t="s">
        <v>8</v>
      </c>
      <c r="C57" s="280" t="s">
        <v>147</v>
      </c>
      <c r="D57" s="280"/>
      <c r="E57" s="555"/>
      <c r="F57" s="953">
        <f>Gia_Tbi!$F$13</f>
        <v>1686</v>
      </c>
      <c r="G57" s="954">
        <f>Gia_Tbi!$G$13</f>
        <v>13488</v>
      </c>
      <c r="H57" s="1734">
        <v>1E-3</v>
      </c>
      <c r="I57" s="956">
        <f>$G57*H57</f>
        <v>13.488</v>
      </c>
    </row>
    <row r="58" spans="1:9" s="257" customFormat="1" ht="15.75">
      <c r="A58" s="1736" t="str">
        <f>'Nhân công'!A18</f>
        <v>4.3</v>
      </c>
      <c r="B58" s="1737" t="str">
        <f>'Nhân công'!B18</f>
        <v>Đối với khu vực chưa có bản đồ đia chính</v>
      </c>
      <c r="C58" s="275"/>
      <c r="D58" s="275"/>
      <c r="E58" s="275"/>
      <c r="F58" s="553"/>
      <c r="G58" s="553"/>
      <c r="H58" s="1731"/>
      <c r="I58" s="1521"/>
    </row>
    <row r="59" spans="1:9" s="257" customFormat="1" ht="31.5">
      <c r="A59" s="1736" t="str">
        <f>'Nhân công'!A19</f>
        <v>4.3.1</v>
      </c>
      <c r="B59" s="1737" t="str">
        <f>'Nhân công'!B19</f>
        <v>Chuyển đổi bản trích đo địa chính theo hệ tọa độ quốc gia VN-2000 vào dữ liệu không gian địa chính</v>
      </c>
      <c r="C59" s="275"/>
      <c r="D59" s="275"/>
      <c r="E59" s="275"/>
      <c r="F59" s="1413"/>
      <c r="G59" s="1413"/>
      <c r="H59" s="1731"/>
      <c r="I59" s="1521">
        <f>SUM(I60:I64)</f>
        <v>3395.9</v>
      </c>
    </row>
    <row r="60" spans="1:9" ht="15.75">
      <c r="A60" s="280"/>
      <c r="B60" s="281" t="s">
        <v>73</v>
      </c>
      <c r="C60" s="280" t="s">
        <v>130</v>
      </c>
      <c r="D60" s="280">
        <f>Gia_Tbi!$D$4</f>
        <v>0.4</v>
      </c>
      <c r="E60" s="280">
        <v>5</v>
      </c>
      <c r="F60" s="1413">
        <f>Gia_Tbi!$F$4</f>
        <v>10000000</v>
      </c>
      <c r="G60" s="1413">
        <f>Gia_Tbi!$G$4</f>
        <v>4000</v>
      </c>
      <c r="H60" s="1734">
        <v>0.04</v>
      </c>
      <c r="I60" s="956">
        <f>$G60*H60</f>
        <v>160</v>
      </c>
    </row>
    <row r="61" spans="1:9" ht="15.75">
      <c r="A61" s="280"/>
      <c r="B61" s="281" t="str">
        <f>B53</f>
        <v xml:space="preserve">Phần mềm biên tập bản đồ </v>
      </c>
      <c r="C61" s="280" t="s">
        <v>132</v>
      </c>
      <c r="D61" s="280"/>
      <c r="E61" s="280">
        <f>E53</f>
        <v>5</v>
      </c>
      <c r="F61" s="561">
        <f>Gia_Phanmem!$F$7</f>
        <v>147000000</v>
      </c>
      <c r="G61" s="1413">
        <f>G53</f>
        <v>58800</v>
      </c>
      <c r="H61" s="1734">
        <v>0.04</v>
      </c>
      <c r="I61" s="956">
        <f t="shared" ref="I61:I64" si="2">$G61*H61</f>
        <v>2352</v>
      </c>
    </row>
    <row r="62" spans="1:9" ht="15.75">
      <c r="A62" s="280"/>
      <c r="B62" s="281" t="s">
        <v>24</v>
      </c>
      <c r="C62" s="280" t="s">
        <v>130</v>
      </c>
      <c r="D62" s="280">
        <f>Gia_Tbi!$D$6</f>
        <v>2.2000000000000002</v>
      </c>
      <c r="E62" s="280">
        <v>8</v>
      </c>
      <c r="F62" s="953">
        <f>Gia_Tbi!$F$6</f>
        <v>12000000</v>
      </c>
      <c r="G62" s="1413">
        <f>Gia_Tbi!$G$6</f>
        <v>3000</v>
      </c>
      <c r="H62" s="1734">
        <v>3.3E-3</v>
      </c>
      <c r="I62" s="956">
        <f t="shared" si="2"/>
        <v>9.9</v>
      </c>
    </row>
    <row r="63" spans="1:9" ht="15.75">
      <c r="A63" s="280"/>
      <c r="B63" s="281" t="str">
        <f>B55</f>
        <v>Máy chủ</v>
      </c>
      <c r="C63" s="280" t="str">
        <f>C55</f>
        <v>Cái</v>
      </c>
      <c r="D63" s="280">
        <f>D55</f>
        <v>1</v>
      </c>
      <c r="E63" s="280">
        <f>E55</f>
        <v>10</v>
      </c>
      <c r="F63" s="558">
        <f>Gia_Tbi!$F$10</f>
        <v>80000000</v>
      </c>
      <c r="G63" s="1413">
        <f>G55</f>
        <v>16000</v>
      </c>
      <c r="H63" s="1734">
        <v>0.01</v>
      </c>
      <c r="I63" s="956">
        <f t="shared" si="2"/>
        <v>160</v>
      </c>
    </row>
    <row r="64" spans="1:9" ht="15.75">
      <c r="A64" s="280"/>
      <c r="B64" s="281" t="str">
        <f>B56</f>
        <v>Hệ quản trị dữ liệu không gian</v>
      </c>
      <c r="C64" s="280" t="s">
        <v>132</v>
      </c>
      <c r="D64" s="280"/>
      <c r="E64" s="280">
        <f>E56</f>
        <v>10</v>
      </c>
      <c r="F64" s="561">
        <f>Gia_Phanmem!$F$6</f>
        <v>357000000</v>
      </c>
      <c r="G64" s="1413">
        <f>G56</f>
        <v>71400</v>
      </c>
      <c r="H64" s="1734">
        <v>0.01</v>
      </c>
      <c r="I64" s="956">
        <f t="shared" si="2"/>
        <v>714</v>
      </c>
    </row>
    <row r="65" spans="1:9" ht="15.75">
      <c r="A65" s="280"/>
      <c r="B65" s="281" t="s">
        <v>8</v>
      </c>
      <c r="C65" s="280" t="s">
        <v>147</v>
      </c>
      <c r="D65" s="280"/>
      <c r="E65" s="555"/>
      <c r="F65" s="953">
        <f>Gia_Tbi!$F$13</f>
        <v>1686</v>
      </c>
      <c r="G65" s="954">
        <f>Gia_Tbi!$G$13</f>
        <v>13488</v>
      </c>
      <c r="H65" s="1734">
        <v>3.3300000000000003E-2</v>
      </c>
      <c r="I65" s="956">
        <f>$G65*H65</f>
        <v>449.15040000000005</v>
      </c>
    </row>
    <row r="66" spans="1:9" s="257" customFormat="1" ht="64.5" customHeight="1">
      <c r="A66" s="1736" t="str">
        <f>'Nhân công'!A20</f>
        <v>4.3.2</v>
      </c>
      <c r="B66" s="1737" t="str">
        <f>'Nhân công'!B20</f>
        <v>Chuyển đổi vào dữ liệu không gian địa chính và định vị trên dữ liệu không gian đất đai nền sơ đồ, bản trích đo địa chính chưa theo hệ tọa độ quốc gia VN-2000 hoặc bản đồ giải thửa dạng số</v>
      </c>
      <c r="C66" s="275"/>
      <c r="D66" s="275"/>
      <c r="E66" s="275"/>
      <c r="F66" s="553"/>
      <c r="G66" s="553"/>
      <c r="H66" s="1731"/>
      <c r="I66" s="1521">
        <f>SUM(I67:I71)</f>
        <v>1698.1</v>
      </c>
    </row>
    <row r="67" spans="1:9" ht="15.75">
      <c r="A67" s="280"/>
      <c r="B67" s="281" t="s">
        <v>73</v>
      </c>
      <c r="C67" s="280" t="s">
        <v>130</v>
      </c>
      <c r="D67" s="280">
        <f>Gia_Tbi!$D$4</f>
        <v>0.4</v>
      </c>
      <c r="E67" s="280">
        <v>5</v>
      </c>
      <c r="F67" s="561">
        <f>Gia_Tbi!$F$4</f>
        <v>10000000</v>
      </c>
      <c r="G67" s="561">
        <f>Gia_Tbi!$G$4</f>
        <v>4000</v>
      </c>
      <c r="H67" s="1734">
        <v>0.02</v>
      </c>
      <c r="I67" s="956">
        <f>$G67*H67</f>
        <v>80</v>
      </c>
    </row>
    <row r="68" spans="1:9" ht="15.75">
      <c r="A68" s="280"/>
      <c r="B68" s="281" t="str">
        <f>B61</f>
        <v xml:space="preserve">Phần mềm biên tập bản đồ </v>
      </c>
      <c r="C68" s="280" t="s">
        <v>132</v>
      </c>
      <c r="D68" s="280"/>
      <c r="E68" s="280">
        <f>E61</f>
        <v>5</v>
      </c>
      <c r="F68" s="561">
        <f>Gia_Phanmem!$F$7</f>
        <v>147000000</v>
      </c>
      <c r="G68" s="561">
        <f>G61</f>
        <v>58800</v>
      </c>
      <c r="H68" s="1734">
        <v>0.02</v>
      </c>
      <c r="I68" s="956">
        <f t="shared" ref="I68:I71" si="3">$G68*H68</f>
        <v>1176</v>
      </c>
    </row>
    <row r="69" spans="1:9" ht="15.75">
      <c r="A69" s="280"/>
      <c r="B69" s="281" t="s">
        <v>24</v>
      </c>
      <c r="C69" s="280" t="s">
        <v>130</v>
      </c>
      <c r="D69" s="280">
        <f>Gia_Tbi!$D$6</f>
        <v>2.2000000000000002</v>
      </c>
      <c r="E69" s="280">
        <v>8</v>
      </c>
      <c r="F69" s="953">
        <f>Gia_Tbi!$F$6</f>
        <v>12000000</v>
      </c>
      <c r="G69" s="561">
        <f>Gia_Tbi!$G$6</f>
        <v>3000</v>
      </c>
      <c r="H69" s="1734">
        <v>1.6999999999999999E-3</v>
      </c>
      <c r="I69" s="956">
        <f t="shared" si="3"/>
        <v>5.0999999999999996</v>
      </c>
    </row>
    <row r="70" spans="1:9" ht="15.75">
      <c r="A70" s="280"/>
      <c r="B70" s="281" t="str">
        <f t="shared" ref="B70:G70" si="4">B63</f>
        <v>Máy chủ</v>
      </c>
      <c r="C70" s="280" t="str">
        <f t="shared" si="4"/>
        <v>Cái</v>
      </c>
      <c r="D70" s="280">
        <f t="shared" si="4"/>
        <v>1</v>
      </c>
      <c r="E70" s="280">
        <f t="shared" si="4"/>
        <v>10</v>
      </c>
      <c r="F70" s="558">
        <f>Gia_Tbi!$F$10</f>
        <v>80000000</v>
      </c>
      <c r="G70" s="561">
        <f t="shared" si="4"/>
        <v>16000</v>
      </c>
      <c r="H70" s="1734">
        <v>5.0000000000000001E-3</v>
      </c>
      <c r="I70" s="956">
        <f t="shared" si="3"/>
        <v>80</v>
      </c>
    </row>
    <row r="71" spans="1:9" ht="15.75">
      <c r="A71" s="280"/>
      <c r="B71" s="281" t="str">
        <f>B64</f>
        <v>Hệ quản trị dữ liệu không gian</v>
      </c>
      <c r="C71" s="280" t="s">
        <v>132</v>
      </c>
      <c r="D71" s="280"/>
      <c r="E71" s="280">
        <f>E64</f>
        <v>10</v>
      </c>
      <c r="F71" s="561">
        <f>Gia_Phanmem!$F$6</f>
        <v>357000000</v>
      </c>
      <c r="G71" s="561">
        <f>G64</f>
        <v>71400</v>
      </c>
      <c r="H71" s="1734">
        <v>5.0000000000000001E-3</v>
      </c>
      <c r="I71" s="956">
        <f t="shared" si="3"/>
        <v>357</v>
      </c>
    </row>
    <row r="72" spans="1:9" ht="15.75">
      <c r="A72" s="280"/>
      <c r="B72" s="281" t="s">
        <v>8</v>
      </c>
      <c r="C72" s="280" t="s">
        <v>147</v>
      </c>
      <c r="D72" s="280"/>
      <c r="E72" s="555"/>
      <c r="F72" s="953">
        <f>Gia_Tbi!$F$13</f>
        <v>1686</v>
      </c>
      <c r="G72" s="954">
        <f>Gia_Tbi!$G$13</f>
        <v>13488</v>
      </c>
      <c r="H72" s="1734">
        <v>1.67E-2</v>
      </c>
      <c r="I72" s="956">
        <f>$G72*H72</f>
        <v>225.24959999999999</v>
      </c>
    </row>
    <row r="73" spans="1:9" s="257" customFormat="1" ht="55.5" customHeight="1">
      <c r="A73" s="1736" t="str">
        <f>'Nhân công'!A21</f>
        <v>4.3.3</v>
      </c>
      <c r="B73" s="1737" t="str">
        <f>'Nhân công'!B21</f>
        <v xml:space="preserve"> Quét và định vị sơ bộ trên dữ liệu không gian đất đai nền sơ đồ, bản trích đo địa chính theo hệ tọa độ giả định hoặc bản đồ giải thửa dạng giấy</v>
      </c>
      <c r="C73" s="275"/>
      <c r="D73" s="275"/>
      <c r="E73" s="275"/>
      <c r="F73" s="553"/>
      <c r="G73" s="553"/>
      <c r="H73" s="1731"/>
      <c r="I73" s="1521">
        <f>SUM(I74:I78)</f>
        <v>1698.1</v>
      </c>
    </row>
    <row r="74" spans="1:9" ht="15.75">
      <c r="A74" s="280"/>
      <c r="B74" s="281" t="s">
        <v>73</v>
      </c>
      <c r="C74" s="280" t="s">
        <v>130</v>
      </c>
      <c r="D74" s="280">
        <f>Gia_Tbi!$D$4</f>
        <v>0.4</v>
      </c>
      <c r="E74" s="280">
        <v>5</v>
      </c>
      <c r="F74" s="561">
        <f>Gia_Tbi!$F$4</f>
        <v>10000000</v>
      </c>
      <c r="G74" s="561">
        <f>Gia_Tbi!$G$4</f>
        <v>4000</v>
      </c>
      <c r="H74" s="1734">
        <v>0.02</v>
      </c>
      <c r="I74" s="956">
        <f>$G74*H74</f>
        <v>80</v>
      </c>
    </row>
    <row r="75" spans="1:9" ht="15.75">
      <c r="A75" s="280"/>
      <c r="B75" s="281" t="str">
        <f>B68</f>
        <v xml:space="preserve">Phần mềm biên tập bản đồ </v>
      </c>
      <c r="C75" s="280" t="str">
        <f>C68</f>
        <v>Bộ</v>
      </c>
      <c r="D75" s="280"/>
      <c r="E75" s="280">
        <f>E68</f>
        <v>5</v>
      </c>
      <c r="F75" s="561">
        <f>Gia_Phanmem!$F$7</f>
        <v>147000000</v>
      </c>
      <c r="G75" s="561">
        <f>G68</f>
        <v>58800</v>
      </c>
      <c r="H75" s="1734">
        <v>0.02</v>
      </c>
      <c r="I75" s="956">
        <f t="shared" ref="I75:I78" si="5">$G75*H75</f>
        <v>1176</v>
      </c>
    </row>
    <row r="76" spans="1:9" ht="15.75">
      <c r="A76" s="280"/>
      <c r="B76" s="281" t="s">
        <v>24</v>
      </c>
      <c r="C76" s="280" t="s">
        <v>130</v>
      </c>
      <c r="D76" s="280">
        <f>Gia_Tbi!$D$6</f>
        <v>2.2000000000000002</v>
      </c>
      <c r="E76" s="280">
        <v>8</v>
      </c>
      <c r="F76" s="953">
        <f>Gia_Tbi!$F$6</f>
        <v>12000000</v>
      </c>
      <c r="G76" s="561">
        <f>Gia_Tbi!$G$6</f>
        <v>3000</v>
      </c>
      <c r="H76" s="1734">
        <v>1.6999999999999999E-3</v>
      </c>
      <c r="I76" s="956">
        <f t="shared" si="5"/>
        <v>5.0999999999999996</v>
      </c>
    </row>
    <row r="77" spans="1:9" ht="15.75">
      <c r="A77" s="280"/>
      <c r="B77" s="281" t="str">
        <f>B70</f>
        <v>Máy chủ</v>
      </c>
      <c r="C77" s="280" t="str">
        <f>C70</f>
        <v>Cái</v>
      </c>
      <c r="D77" s="280">
        <f>D70</f>
        <v>1</v>
      </c>
      <c r="E77" s="280">
        <f>E70</f>
        <v>10</v>
      </c>
      <c r="F77" s="558">
        <f>Gia_Tbi!$F$10</f>
        <v>80000000</v>
      </c>
      <c r="G77" s="561">
        <f>G70</f>
        <v>16000</v>
      </c>
      <c r="H77" s="1734">
        <v>5.0000000000000001E-3</v>
      </c>
      <c r="I77" s="956">
        <f t="shared" si="5"/>
        <v>80</v>
      </c>
    </row>
    <row r="78" spans="1:9" ht="15.75">
      <c r="A78" s="280"/>
      <c r="B78" s="281" t="str">
        <f>B71</f>
        <v>Hệ quản trị dữ liệu không gian</v>
      </c>
      <c r="C78" s="280" t="s">
        <v>132</v>
      </c>
      <c r="D78" s="280"/>
      <c r="E78" s="280">
        <f>E71</f>
        <v>10</v>
      </c>
      <c r="F78" s="561">
        <f>Gia_Phanmem!$F$6</f>
        <v>357000000</v>
      </c>
      <c r="G78" s="561">
        <f>G71</f>
        <v>71400</v>
      </c>
      <c r="H78" s="1734">
        <v>5.0000000000000001E-3</v>
      </c>
      <c r="I78" s="956">
        <f t="shared" si="5"/>
        <v>357</v>
      </c>
    </row>
    <row r="79" spans="1:9" ht="15.75">
      <c r="A79" s="280"/>
      <c r="B79" s="281" t="s">
        <v>8</v>
      </c>
      <c r="C79" s="280" t="s">
        <v>147</v>
      </c>
      <c r="D79" s="280"/>
      <c r="E79" s="555"/>
      <c r="F79" s="558">
        <f>Gia_Tbi!$F$13</f>
        <v>1686</v>
      </c>
      <c r="G79" s="558">
        <f>Gia_Tbi!$G$13</f>
        <v>13488</v>
      </c>
      <c r="H79" s="1734">
        <v>1.67E-2</v>
      </c>
      <c r="I79" s="956">
        <f>$G79*H79</f>
        <v>225.24959999999999</v>
      </c>
    </row>
    <row r="80" spans="1:9" s="257" customFormat="1" ht="31.5">
      <c r="A80" s="1736" t="str">
        <f>'Nhân công'!A22</f>
        <v>4.4</v>
      </c>
      <c r="B80" s="1737" t="str">
        <f>'Nhân công'!B22</f>
        <v>Định vị khu vực dồn điền đổi thửa trên dữ liệu không gian đất đai nền trên cơ sở các hồ sơ, tài liệu hiện có</v>
      </c>
      <c r="C80" s="275"/>
      <c r="D80" s="275"/>
      <c r="E80" s="275"/>
      <c r="F80" s="553"/>
      <c r="G80" s="553"/>
      <c r="H80" s="1731"/>
      <c r="I80" s="1521">
        <f>SUM(I81:I85)</f>
        <v>1698.1</v>
      </c>
    </row>
    <row r="81" spans="1:9" ht="15.75">
      <c r="A81" s="280"/>
      <c r="B81" s="281" t="s">
        <v>73</v>
      </c>
      <c r="C81" s="280" t="s">
        <v>130</v>
      </c>
      <c r="D81" s="280">
        <f>Gia_Tbi!$D$4</f>
        <v>0.4</v>
      </c>
      <c r="E81" s="280">
        <v>5</v>
      </c>
      <c r="F81" s="561">
        <f>Gia_Tbi!$F$4</f>
        <v>10000000</v>
      </c>
      <c r="G81" s="561">
        <f>Gia_Tbi!$G$4</f>
        <v>4000</v>
      </c>
      <c r="H81" s="1734">
        <v>0.02</v>
      </c>
      <c r="I81" s="956">
        <f>$G81*H81</f>
        <v>80</v>
      </c>
    </row>
    <row r="82" spans="1:9" ht="15.75">
      <c r="A82" s="280"/>
      <c r="B82" s="281" t="str">
        <f>B75</f>
        <v xml:space="preserve">Phần mềm biên tập bản đồ </v>
      </c>
      <c r="C82" s="280" t="s">
        <v>132</v>
      </c>
      <c r="D82" s="280"/>
      <c r="E82" s="280">
        <f>E75</f>
        <v>5</v>
      </c>
      <c r="F82" s="561">
        <f>Gia_Phanmem!$F$7</f>
        <v>147000000</v>
      </c>
      <c r="G82" s="561">
        <f>G75</f>
        <v>58800</v>
      </c>
      <c r="H82" s="1734">
        <v>0.02</v>
      </c>
      <c r="I82" s="956">
        <f t="shared" ref="I82:I85" si="6">$G82*H82</f>
        <v>1176</v>
      </c>
    </row>
    <row r="83" spans="1:9" ht="15.75">
      <c r="A83" s="280"/>
      <c r="B83" s="281" t="s">
        <v>24</v>
      </c>
      <c r="C83" s="280" t="s">
        <v>130</v>
      </c>
      <c r="D83" s="280">
        <f>Gia_Tbi!$D$6</f>
        <v>2.2000000000000002</v>
      </c>
      <c r="E83" s="280">
        <v>8</v>
      </c>
      <c r="F83" s="953">
        <f>Gia_Tbi!$F$6</f>
        <v>12000000</v>
      </c>
      <c r="G83" s="561">
        <f>Gia_Tbi!$G$6</f>
        <v>3000</v>
      </c>
      <c r="H83" s="1734">
        <v>1.6999999999999999E-3</v>
      </c>
      <c r="I83" s="956">
        <f t="shared" si="6"/>
        <v>5.0999999999999996</v>
      </c>
    </row>
    <row r="84" spans="1:9" ht="15.75">
      <c r="A84" s="280"/>
      <c r="B84" s="281" t="str">
        <f t="shared" ref="B84:G84" si="7">B77</f>
        <v>Máy chủ</v>
      </c>
      <c r="C84" s="280" t="str">
        <f t="shared" si="7"/>
        <v>Cái</v>
      </c>
      <c r="D84" s="280">
        <f t="shared" si="7"/>
        <v>1</v>
      </c>
      <c r="E84" s="280">
        <f t="shared" si="7"/>
        <v>10</v>
      </c>
      <c r="F84" s="558">
        <f>Gia_Tbi!$F$10</f>
        <v>80000000</v>
      </c>
      <c r="G84" s="561">
        <f t="shared" si="7"/>
        <v>16000</v>
      </c>
      <c r="H84" s="1734">
        <v>5.0000000000000001E-3</v>
      </c>
      <c r="I84" s="956">
        <f t="shared" si="6"/>
        <v>80</v>
      </c>
    </row>
    <row r="85" spans="1:9" ht="15.75">
      <c r="A85" s="280"/>
      <c r="B85" s="281" t="str">
        <f>B78</f>
        <v>Hệ quản trị dữ liệu không gian</v>
      </c>
      <c r="C85" s="280" t="s">
        <v>132</v>
      </c>
      <c r="D85" s="280"/>
      <c r="E85" s="280">
        <f>E78</f>
        <v>10</v>
      </c>
      <c r="F85" s="561">
        <f>Gia_Phanmem!$F$6</f>
        <v>357000000</v>
      </c>
      <c r="G85" s="561">
        <f>G78</f>
        <v>71400</v>
      </c>
      <c r="H85" s="1734">
        <v>5.0000000000000001E-3</v>
      </c>
      <c r="I85" s="956">
        <f t="shared" si="6"/>
        <v>357</v>
      </c>
    </row>
    <row r="86" spans="1:9" ht="15.75">
      <c r="A86" s="280"/>
      <c r="B86" s="281" t="s">
        <v>8</v>
      </c>
      <c r="C86" s="280" t="s">
        <v>147</v>
      </c>
      <c r="D86" s="280"/>
      <c r="E86" s="555"/>
      <c r="F86" s="953">
        <f>Gia_Tbi!$F$13</f>
        <v>1686</v>
      </c>
      <c r="G86" s="954">
        <f>Gia_Tbi!$G$13</f>
        <v>13488</v>
      </c>
      <c r="H86" s="1734">
        <v>1.67E-2</v>
      </c>
      <c r="I86" s="956">
        <f>$G86*H86</f>
        <v>225.24959999999999</v>
      </c>
    </row>
    <row r="87" spans="1:9" s="257" customFormat="1" ht="15.75">
      <c r="A87" s="275">
        <f>'Nhân công'!A23</f>
        <v>5</v>
      </c>
      <c r="B87" s="554" t="str">
        <f>'Nhân công'!B23</f>
        <v>Xây dựng dữ liệu thuộc tính địa chính</v>
      </c>
      <c r="C87" s="275"/>
      <c r="D87" s="275"/>
      <c r="E87" s="275"/>
      <c r="F87" s="553"/>
      <c r="G87" s="553"/>
      <c r="H87" s="1731"/>
      <c r="I87" s="1521"/>
    </row>
    <row r="88" spans="1:9" s="257" customFormat="1" ht="31.5">
      <c r="A88" s="280" t="str">
        <f>'Nhân công'!A24</f>
        <v>5.1</v>
      </c>
      <c r="B88" s="1168" t="str">
        <f>'Nhân công'!B24</f>
        <v>Kiểm tra tính đầy đủ thông tin của thửa đất, lựa chọn tài liệu theo thứ tự ưu tiên</v>
      </c>
      <c r="C88" s="275"/>
      <c r="D88" s="275"/>
      <c r="E88" s="275"/>
      <c r="F88" s="553"/>
      <c r="G88" s="553"/>
      <c r="H88" s="1731"/>
      <c r="I88" s="1521">
        <f>SUM(I89:I90)</f>
        <v>34.1</v>
      </c>
    </row>
    <row r="89" spans="1:9" ht="15.75">
      <c r="A89" s="280"/>
      <c r="B89" s="281" t="s">
        <v>73</v>
      </c>
      <c r="C89" s="280" t="s">
        <v>130</v>
      </c>
      <c r="D89" s="280">
        <f>Gia_Tbi!$D$4</f>
        <v>0.4</v>
      </c>
      <c r="E89" s="280">
        <v>5</v>
      </c>
      <c r="F89" s="953">
        <f>Gia_Tbi!$F$4</f>
        <v>10000000</v>
      </c>
      <c r="G89" s="954">
        <f>Gia_Tbi!$G$4</f>
        <v>4000</v>
      </c>
      <c r="H89" s="1734">
        <v>8.0000000000000002E-3</v>
      </c>
      <c r="I89" s="956">
        <f>$G89*H89</f>
        <v>32</v>
      </c>
    </row>
    <row r="90" spans="1:9" ht="15.75">
      <c r="A90" s="280"/>
      <c r="B90" s="281" t="s">
        <v>24</v>
      </c>
      <c r="C90" s="280" t="s">
        <v>130</v>
      </c>
      <c r="D90" s="280">
        <f>Gia_Tbi!$D$6</f>
        <v>2.2000000000000002</v>
      </c>
      <c r="E90" s="280">
        <v>8</v>
      </c>
      <c r="F90" s="953">
        <f>Gia_Tbi!$F$6</f>
        <v>12000000</v>
      </c>
      <c r="G90" s="954">
        <f>Gia_Tbi!$G$6</f>
        <v>3000</v>
      </c>
      <c r="H90" s="1734">
        <v>6.9999999999999999E-4</v>
      </c>
      <c r="I90" s="956">
        <f>$G90*H90</f>
        <v>2.1</v>
      </c>
    </row>
    <row r="91" spans="1:9" ht="15.75">
      <c r="A91" s="280"/>
      <c r="B91" s="281" t="s">
        <v>8</v>
      </c>
      <c r="C91" s="280" t="s">
        <v>147</v>
      </c>
      <c r="D91" s="280"/>
      <c r="E91" s="555"/>
      <c r="F91" s="953">
        <f>Gia_Tbi!$F$13</f>
        <v>1686</v>
      </c>
      <c r="G91" s="954">
        <f>Gia_Tbi!$G$13</f>
        <v>13488</v>
      </c>
      <c r="H91" s="1734">
        <v>4.7000000000000002E-3</v>
      </c>
      <c r="I91" s="956">
        <f>$G91*H91</f>
        <v>63.393599999999999</v>
      </c>
    </row>
    <row r="92" spans="1:9" s="257" customFormat="1" ht="47.25">
      <c r="A92" s="280" t="str">
        <f>'Nhân công'!A25</f>
        <v>5.2</v>
      </c>
      <c r="B92" s="1168" t="str">
        <f>'Nhân công'!B25</f>
        <v>Lập bảng tham chiếu số thửa cũ và số thửa mới đối với các thửa đất đã được cấp Giấy chứng nhận theo bản đồ cũ nhưng chưa cấp đổi Giấy chứng nhận</v>
      </c>
      <c r="C92" s="275"/>
      <c r="D92" s="275"/>
      <c r="E92" s="275"/>
      <c r="F92" s="553"/>
      <c r="G92" s="553"/>
      <c r="H92" s="1731"/>
      <c r="I92" s="1521">
        <f>SUM(I93:I94)</f>
        <v>16.899999999999999</v>
      </c>
    </row>
    <row r="93" spans="1:9" ht="15.75">
      <c r="A93" s="280"/>
      <c r="B93" s="281" t="s">
        <v>73</v>
      </c>
      <c r="C93" s="280" t="s">
        <v>130</v>
      </c>
      <c r="D93" s="280">
        <f>Gia_Tbi!$D$4</f>
        <v>0.4</v>
      </c>
      <c r="E93" s="280">
        <v>5</v>
      </c>
      <c r="F93" s="317">
        <f>Gia_Tbi!$F$4</f>
        <v>10000000</v>
      </c>
      <c r="G93" s="1742">
        <f>Gia_Tbi!$G$4</f>
        <v>4000</v>
      </c>
      <c r="H93" s="1734">
        <v>4.0000000000000001E-3</v>
      </c>
      <c r="I93" s="956">
        <f>$G93*H93</f>
        <v>16</v>
      </c>
    </row>
    <row r="94" spans="1:9" ht="15.75">
      <c r="A94" s="280"/>
      <c r="B94" s="281" t="s">
        <v>24</v>
      </c>
      <c r="C94" s="280" t="s">
        <v>130</v>
      </c>
      <c r="D94" s="280">
        <f>Gia_Tbi!$D$6</f>
        <v>2.2000000000000002</v>
      </c>
      <c r="E94" s="280">
        <v>8</v>
      </c>
      <c r="F94" s="317">
        <f>Gia_Tbi!$F$6</f>
        <v>12000000</v>
      </c>
      <c r="G94" s="1742">
        <f>Gia_Tbi!$G$6</f>
        <v>3000</v>
      </c>
      <c r="H94" s="1734">
        <v>2.9999999999999997E-4</v>
      </c>
      <c r="I94" s="956">
        <f>$G94*H94</f>
        <v>0.89999999999999991</v>
      </c>
    </row>
    <row r="95" spans="1:9" ht="15.75">
      <c r="A95" s="280"/>
      <c r="B95" s="281" t="s">
        <v>8</v>
      </c>
      <c r="C95" s="280" t="s">
        <v>147</v>
      </c>
      <c r="D95" s="280"/>
      <c r="E95" s="555"/>
      <c r="F95" s="317">
        <f>Gia_Tbi!$F$13</f>
        <v>1686</v>
      </c>
      <c r="G95" s="1742">
        <f>Gia_Tbi!$G$13</f>
        <v>13488</v>
      </c>
      <c r="H95" s="1734">
        <v>2.3E-3</v>
      </c>
      <c r="I95" s="956">
        <f>$G95*H95</f>
        <v>31.022400000000001</v>
      </c>
    </row>
    <row r="96" spans="1:9" ht="15.75">
      <c r="A96" s="280" t="str">
        <f>'Nhân công'!A26</f>
        <v>5.3</v>
      </c>
      <c r="B96" s="1168" t="str">
        <f>'Nhân công'!B26</f>
        <v>Nhập thông tin từ tài liệu đã lựa chọn</v>
      </c>
      <c r="C96" s="280"/>
      <c r="D96" s="280"/>
      <c r="E96" s="555"/>
      <c r="F96" s="317"/>
      <c r="G96" s="1742"/>
      <c r="H96" s="1734"/>
      <c r="I96" s="956"/>
    </row>
    <row r="97" spans="1:10" s="257" customFormat="1" ht="15.75">
      <c r="A97" s="280" t="str">
        <f>'Nhân công'!A27</f>
        <v>5.3.1</v>
      </c>
      <c r="B97" s="1168" t="str">
        <f>'Nhân công'!B27</f>
        <v>Thửa đất loại I (Thửa A)</v>
      </c>
      <c r="C97" s="275"/>
      <c r="D97" s="275"/>
      <c r="E97" s="275"/>
      <c r="F97" s="553"/>
      <c r="G97" s="553"/>
      <c r="H97" s="1731"/>
      <c r="I97" s="1521">
        <f>SUM(I98:I103)</f>
        <v>841.85877999999991</v>
      </c>
    </row>
    <row r="98" spans="1:10" ht="15.75">
      <c r="A98" s="280"/>
      <c r="B98" s="281" t="s">
        <v>73</v>
      </c>
      <c r="C98" s="280" t="s">
        <v>130</v>
      </c>
      <c r="D98" s="280">
        <f>Gia_Tbi!D4</f>
        <v>0.4</v>
      </c>
      <c r="E98" s="336">
        <f>Gia_Tbi!E4</f>
        <v>5</v>
      </c>
      <c r="F98" s="1413">
        <f>Gia_Tbi!F4</f>
        <v>10000000</v>
      </c>
      <c r="G98" s="1413">
        <f>Gia_Tbi!G4</f>
        <v>4000</v>
      </c>
      <c r="H98" s="338">
        <v>8.7599999999999997E-2</v>
      </c>
      <c r="I98" s="956">
        <f t="shared" ref="I98:I112" si="8">$G98*H98</f>
        <v>350.4</v>
      </c>
    </row>
    <row r="99" spans="1:10" ht="15.75">
      <c r="A99" s="280"/>
      <c r="B99" s="281" t="s">
        <v>74</v>
      </c>
      <c r="C99" s="280" t="s">
        <v>130</v>
      </c>
      <c r="D99" s="280">
        <f>Gia_Tbi!D5</f>
        <v>0.6</v>
      </c>
      <c r="E99" s="336">
        <f>Gia_Tbi!E5</f>
        <v>5</v>
      </c>
      <c r="F99" s="1413">
        <f>Gia_Tbi!F5</f>
        <v>2500000</v>
      </c>
      <c r="G99" s="1413">
        <f>Gia_Tbi!G5</f>
        <v>1000</v>
      </c>
      <c r="H99" s="338">
        <v>5.7999999999999996E-3</v>
      </c>
      <c r="I99" s="956">
        <f t="shared" si="8"/>
        <v>5.8</v>
      </c>
    </row>
    <row r="100" spans="1:10" ht="15.75">
      <c r="A100" s="280"/>
      <c r="B100" s="281" t="s">
        <v>24</v>
      </c>
      <c r="C100" s="280" t="s">
        <v>130</v>
      </c>
      <c r="D100" s="280">
        <f>Gia_Tbi!D6</f>
        <v>2.2000000000000002</v>
      </c>
      <c r="E100" s="336">
        <f>Gia_Tbi!E6</f>
        <v>8</v>
      </c>
      <c r="F100" s="1413">
        <f>Gia_Tbi!F6</f>
        <v>12000000</v>
      </c>
      <c r="G100" s="1413">
        <f>Gia_Tbi!G6</f>
        <v>3000</v>
      </c>
      <c r="H100" s="338">
        <v>7.3000000000000001E-3</v>
      </c>
      <c r="I100" s="956">
        <f t="shared" si="8"/>
        <v>21.9</v>
      </c>
    </row>
    <row r="101" spans="1:10" ht="15.75">
      <c r="A101" s="280"/>
      <c r="B101" s="281" t="s">
        <v>1041</v>
      </c>
      <c r="C101" s="280" t="s">
        <v>130</v>
      </c>
      <c r="D101" s="280">
        <f>Gia_Tbi!D10</f>
        <v>1</v>
      </c>
      <c r="E101" s="336">
        <f>Gia_Tbi!E10</f>
        <v>10</v>
      </c>
      <c r="F101" s="1413">
        <f>Gia_Tbi!$F$10</f>
        <v>80000000</v>
      </c>
      <c r="G101" s="1413">
        <f>Gia_Tbi!G10</f>
        <v>16000</v>
      </c>
      <c r="H101" s="338">
        <v>2.1899999999999999E-2</v>
      </c>
      <c r="I101" s="956">
        <f t="shared" si="8"/>
        <v>350.4</v>
      </c>
    </row>
    <row r="102" spans="1:10" ht="15.75">
      <c r="A102" s="280"/>
      <c r="B102" s="281" t="str">
        <f>Gia_Phanmem!B5</f>
        <v>Hệ quản trị cơ sở dữ liệu thuộc tính</v>
      </c>
      <c r="C102" s="280" t="s">
        <v>132</v>
      </c>
      <c r="D102" s="280"/>
      <c r="E102" s="280">
        <f>Gia_Phanmem!E5</f>
        <v>10</v>
      </c>
      <c r="F102" s="1413">
        <f>Gia_Phanmem!$F$5</f>
        <v>20881000</v>
      </c>
      <c r="G102" s="1413">
        <f>Gia_Phanmem!G5</f>
        <v>4176.2</v>
      </c>
      <c r="H102" s="338">
        <v>2.1899999999999999E-2</v>
      </c>
      <c r="I102" s="956">
        <f t="shared" si="8"/>
        <v>91.45877999999999</v>
      </c>
    </row>
    <row r="103" spans="1:10" ht="15.75">
      <c r="A103" s="280"/>
      <c r="B103" s="281" t="s">
        <v>131</v>
      </c>
      <c r="C103" s="280" t="s">
        <v>130</v>
      </c>
      <c r="D103" s="280">
        <v>0.1</v>
      </c>
      <c r="E103" s="336">
        <f>Gia_Tbi!E12</f>
        <v>5</v>
      </c>
      <c r="F103" s="1413">
        <f>Gia_Tbi!F12</f>
        <v>2500000</v>
      </c>
      <c r="G103" s="1413">
        <f>Gia_Tbi!G12</f>
        <v>1000</v>
      </c>
      <c r="H103" s="338">
        <v>2.1899999999999999E-2</v>
      </c>
      <c r="I103" s="956">
        <f t="shared" si="8"/>
        <v>21.9</v>
      </c>
    </row>
    <row r="104" spans="1:10" ht="15.75">
      <c r="A104" s="280"/>
      <c r="B104" s="281" t="s">
        <v>8</v>
      </c>
      <c r="C104" s="280" t="s">
        <v>147</v>
      </c>
      <c r="D104" s="280"/>
      <c r="E104" s="555"/>
      <c r="F104" s="907">
        <f>Gia_Tbi!F13</f>
        <v>1686</v>
      </c>
      <c r="G104" s="907">
        <f>Gia_Tbi!G13</f>
        <v>13488</v>
      </c>
      <c r="H104" s="955">
        <v>7.8700000000000006E-2</v>
      </c>
      <c r="I104" s="956">
        <f t="shared" si="8"/>
        <v>1061.5056000000002</v>
      </c>
    </row>
    <row r="105" spans="1:10" ht="15.75">
      <c r="A105" s="280" t="str">
        <f>'Nhân công'!A28</f>
        <v>5.3.2</v>
      </c>
      <c r="B105" s="281" t="str">
        <f>'Nhân công'!B28</f>
        <v>Thửa đất loại II (Thửa B và D)</v>
      </c>
      <c r="C105" s="280"/>
      <c r="D105" s="280"/>
      <c r="E105" s="555"/>
      <c r="F105" s="907"/>
      <c r="G105" s="907"/>
      <c r="H105" s="1734"/>
      <c r="I105" s="1743">
        <f>SUM(I106:I111)</f>
        <v>1010.2785359999998</v>
      </c>
    </row>
    <row r="106" spans="1:10" ht="15.75">
      <c r="A106" s="280"/>
      <c r="B106" s="281" t="str">
        <f>B98</f>
        <v>Máy tính để bàn</v>
      </c>
      <c r="C106" s="281" t="str">
        <f t="shared" ref="C106:G106" si="9">C98</f>
        <v>Cái</v>
      </c>
      <c r="D106" s="280">
        <f t="shared" si="9"/>
        <v>0.4</v>
      </c>
      <c r="E106" s="280">
        <f t="shared" si="9"/>
        <v>5</v>
      </c>
      <c r="F106" s="1413">
        <f t="shared" si="9"/>
        <v>10000000</v>
      </c>
      <c r="G106" s="1413">
        <f t="shared" si="9"/>
        <v>4000</v>
      </c>
      <c r="H106" s="955">
        <v>0.10511999999999999</v>
      </c>
      <c r="I106" s="956">
        <f t="shared" si="8"/>
        <v>420.47999999999996</v>
      </c>
      <c r="J106" s="1518"/>
    </row>
    <row r="107" spans="1:10" ht="15.75">
      <c r="A107" s="280"/>
      <c r="B107" s="281" t="str">
        <f t="shared" ref="B107:G107" si="10">B99</f>
        <v>Máy in laser</v>
      </c>
      <c r="C107" s="281" t="str">
        <f t="shared" si="10"/>
        <v>Cái</v>
      </c>
      <c r="D107" s="280">
        <f t="shared" si="10"/>
        <v>0.6</v>
      </c>
      <c r="E107" s="280">
        <f t="shared" si="10"/>
        <v>5</v>
      </c>
      <c r="F107" s="1413">
        <f t="shared" si="10"/>
        <v>2500000</v>
      </c>
      <c r="G107" s="1413">
        <f t="shared" si="10"/>
        <v>1000</v>
      </c>
      <c r="H107" s="338">
        <v>7.0079999999999995E-3</v>
      </c>
      <c r="I107" s="956">
        <f t="shared" si="8"/>
        <v>7.0079999999999991</v>
      </c>
    </row>
    <row r="108" spans="1:10" ht="15.75">
      <c r="A108" s="280"/>
      <c r="B108" s="281" t="str">
        <f t="shared" ref="B108:G108" si="11">B100</f>
        <v>Điều hoà nhiệt độ</v>
      </c>
      <c r="C108" s="281" t="str">
        <f t="shared" si="11"/>
        <v>Cái</v>
      </c>
      <c r="D108" s="280">
        <f t="shared" si="11"/>
        <v>2.2000000000000002</v>
      </c>
      <c r="E108" s="280">
        <f t="shared" si="11"/>
        <v>8</v>
      </c>
      <c r="F108" s="1413">
        <f t="shared" si="11"/>
        <v>12000000</v>
      </c>
      <c r="G108" s="1413">
        <f t="shared" si="11"/>
        <v>3000</v>
      </c>
      <c r="H108" s="338">
        <v>8.7599999999999987E-3</v>
      </c>
      <c r="I108" s="956">
        <f t="shared" si="8"/>
        <v>26.279999999999998</v>
      </c>
    </row>
    <row r="109" spans="1:10" ht="15.75">
      <c r="A109" s="280"/>
      <c r="B109" s="281" t="str">
        <f t="shared" ref="B109:G109" si="12">B101</f>
        <v>Máy chủ</v>
      </c>
      <c r="C109" s="281" t="str">
        <f t="shared" si="12"/>
        <v>Cái</v>
      </c>
      <c r="D109" s="280">
        <f t="shared" si="12"/>
        <v>1</v>
      </c>
      <c r="E109" s="280">
        <f t="shared" si="12"/>
        <v>10</v>
      </c>
      <c r="F109" s="1413">
        <f t="shared" si="12"/>
        <v>80000000</v>
      </c>
      <c r="G109" s="1413">
        <f t="shared" si="12"/>
        <v>16000</v>
      </c>
      <c r="H109" s="338">
        <v>2.6279999999999998E-2</v>
      </c>
      <c r="I109" s="956">
        <f t="shared" si="8"/>
        <v>420.47999999999996</v>
      </c>
    </row>
    <row r="110" spans="1:10" ht="15.75">
      <c r="A110" s="280"/>
      <c r="B110" s="281" t="str">
        <f t="shared" ref="B110:G110" si="13">B102</f>
        <v>Hệ quản trị cơ sở dữ liệu thuộc tính</v>
      </c>
      <c r="C110" s="281" t="str">
        <f t="shared" si="13"/>
        <v>Bộ</v>
      </c>
      <c r="D110" s="280">
        <f t="shared" si="13"/>
        <v>0</v>
      </c>
      <c r="E110" s="280">
        <f t="shared" si="13"/>
        <v>10</v>
      </c>
      <c r="F110" s="1413">
        <f t="shared" si="13"/>
        <v>20881000</v>
      </c>
      <c r="G110" s="1413">
        <f t="shared" si="13"/>
        <v>4176.2</v>
      </c>
      <c r="H110" s="338">
        <v>2.6279999999999998E-2</v>
      </c>
      <c r="I110" s="956">
        <f t="shared" si="8"/>
        <v>109.75053599999998</v>
      </c>
    </row>
    <row r="111" spans="1:10" ht="15.75">
      <c r="A111" s="280"/>
      <c r="B111" s="281" t="str">
        <f t="shared" ref="B111:G112" si="14">B103</f>
        <v>Thiết bị mạng</v>
      </c>
      <c r="C111" s="281" t="str">
        <f t="shared" si="14"/>
        <v>Cái</v>
      </c>
      <c r="D111" s="280">
        <f t="shared" si="14"/>
        <v>0.1</v>
      </c>
      <c r="E111" s="280">
        <f t="shared" si="14"/>
        <v>5</v>
      </c>
      <c r="F111" s="1413">
        <f t="shared" si="14"/>
        <v>2500000</v>
      </c>
      <c r="G111" s="1413">
        <f t="shared" si="14"/>
        <v>1000</v>
      </c>
      <c r="H111" s="338">
        <v>2.6279999999999998E-2</v>
      </c>
      <c r="I111" s="956">
        <f t="shared" si="8"/>
        <v>26.279999999999998</v>
      </c>
    </row>
    <row r="112" spans="1:10" ht="15.75">
      <c r="A112" s="280"/>
      <c r="B112" s="281" t="str">
        <f>B104</f>
        <v>Điện năng</v>
      </c>
      <c r="C112" s="281" t="str">
        <f t="shared" si="14"/>
        <v>kW</v>
      </c>
      <c r="D112" s="280"/>
      <c r="E112" s="280"/>
      <c r="F112" s="1413">
        <f t="shared" si="14"/>
        <v>1686</v>
      </c>
      <c r="G112" s="1413">
        <f t="shared" si="14"/>
        <v>13488</v>
      </c>
      <c r="H112" s="955">
        <v>9.4432799999999997E-2</v>
      </c>
      <c r="I112" s="956">
        <f t="shared" si="8"/>
        <v>1273.7096064</v>
      </c>
    </row>
    <row r="113" spans="1:10" ht="15.75">
      <c r="A113" s="280" t="str">
        <f>'Nhân công'!A29</f>
        <v>5.3.3</v>
      </c>
      <c r="B113" s="281" t="str">
        <f>'Nhân công'!B29</f>
        <v>Thửa đất loại III (Thửa C)</v>
      </c>
      <c r="C113" s="280"/>
      <c r="D113" s="280"/>
      <c r="E113" s="555"/>
      <c r="F113" s="907"/>
      <c r="G113" s="907"/>
      <c r="H113" s="1734"/>
      <c r="I113" s="1743">
        <f>SUM(I114:I119)</f>
        <v>420.94938999999999</v>
      </c>
    </row>
    <row r="114" spans="1:10" ht="15.75">
      <c r="A114" s="280"/>
      <c r="B114" s="281" t="str">
        <f>B106</f>
        <v>Máy tính để bàn</v>
      </c>
      <c r="C114" s="281" t="str">
        <f t="shared" ref="C114:G114" si="15">C106</f>
        <v>Cái</v>
      </c>
      <c r="D114" s="280">
        <f t="shared" si="15"/>
        <v>0.4</v>
      </c>
      <c r="E114" s="280">
        <f t="shared" si="15"/>
        <v>5</v>
      </c>
      <c r="F114" s="1413">
        <f t="shared" si="15"/>
        <v>10000000</v>
      </c>
      <c r="G114" s="1413">
        <f t="shared" si="15"/>
        <v>4000</v>
      </c>
      <c r="H114" s="955">
        <v>4.3800000000000006E-2</v>
      </c>
      <c r="I114" s="956">
        <f t="shared" ref="I114:I120" si="16">$G114*H114</f>
        <v>175.20000000000002</v>
      </c>
      <c r="J114" s="1518"/>
    </row>
    <row r="115" spans="1:10" ht="15.75">
      <c r="A115" s="280"/>
      <c r="B115" s="281" t="str">
        <f t="shared" ref="B115:G115" si="17">B107</f>
        <v>Máy in laser</v>
      </c>
      <c r="C115" s="281" t="str">
        <f t="shared" si="17"/>
        <v>Cái</v>
      </c>
      <c r="D115" s="280">
        <f t="shared" si="17"/>
        <v>0.6</v>
      </c>
      <c r="E115" s="280">
        <f t="shared" si="17"/>
        <v>5</v>
      </c>
      <c r="F115" s="1413">
        <f t="shared" si="17"/>
        <v>2500000</v>
      </c>
      <c r="G115" s="1413">
        <f t="shared" si="17"/>
        <v>1000</v>
      </c>
      <c r="H115" s="338">
        <v>2.9200000000000003E-3</v>
      </c>
      <c r="I115" s="956">
        <f t="shared" si="16"/>
        <v>2.9200000000000004</v>
      </c>
    </row>
    <row r="116" spans="1:10" ht="15.75">
      <c r="A116" s="280"/>
      <c r="B116" s="281" t="str">
        <f t="shared" ref="B116:G116" si="18">B108</f>
        <v>Điều hoà nhiệt độ</v>
      </c>
      <c r="C116" s="281" t="str">
        <f t="shared" si="18"/>
        <v>Cái</v>
      </c>
      <c r="D116" s="280">
        <f t="shared" si="18"/>
        <v>2.2000000000000002</v>
      </c>
      <c r="E116" s="280">
        <f t="shared" si="18"/>
        <v>8</v>
      </c>
      <c r="F116" s="1413">
        <f t="shared" si="18"/>
        <v>12000000</v>
      </c>
      <c r="G116" s="1413">
        <f t="shared" si="18"/>
        <v>3000</v>
      </c>
      <c r="H116" s="338">
        <v>3.6500000000000005E-3</v>
      </c>
      <c r="I116" s="956">
        <f t="shared" si="16"/>
        <v>10.950000000000001</v>
      </c>
    </row>
    <row r="117" spans="1:10" ht="15.75">
      <c r="A117" s="280"/>
      <c r="B117" s="281" t="str">
        <f t="shared" ref="B117:G117" si="19">B109</f>
        <v>Máy chủ</v>
      </c>
      <c r="C117" s="281" t="str">
        <f t="shared" si="19"/>
        <v>Cái</v>
      </c>
      <c r="D117" s="280">
        <f t="shared" si="19"/>
        <v>1</v>
      </c>
      <c r="E117" s="280">
        <f t="shared" si="19"/>
        <v>10</v>
      </c>
      <c r="F117" s="1413">
        <f t="shared" si="19"/>
        <v>80000000</v>
      </c>
      <c r="G117" s="1413">
        <f t="shared" si="19"/>
        <v>16000</v>
      </c>
      <c r="H117" s="338">
        <v>1.0950000000000001E-2</v>
      </c>
      <c r="I117" s="956">
        <f>$G117*H117</f>
        <v>175.20000000000002</v>
      </c>
    </row>
    <row r="118" spans="1:10" ht="15.75">
      <c r="A118" s="280"/>
      <c r="B118" s="281" t="str">
        <f t="shared" ref="B118:G118" si="20">B110</f>
        <v>Hệ quản trị cơ sở dữ liệu thuộc tính</v>
      </c>
      <c r="C118" s="281" t="str">
        <f t="shared" si="20"/>
        <v>Bộ</v>
      </c>
      <c r="D118" s="280">
        <f t="shared" si="20"/>
        <v>0</v>
      </c>
      <c r="E118" s="280">
        <f t="shared" si="20"/>
        <v>10</v>
      </c>
      <c r="F118" s="1413">
        <f t="shared" si="20"/>
        <v>20881000</v>
      </c>
      <c r="G118" s="1413">
        <f t="shared" si="20"/>
        <v>4176.2</v>
      </c>
      <c r="H118" s="338">
        <v>1.0950000000000001E-2</v>
      </c>
      <c r="I118" s="956">
        <f t="shared" si="16"/>
        <v>45.729390000000002</v>
      </c>
    </row>
    <row r="119" spans="1:10" ht="15.75">
      <c r="A119" s="280"/>
      <c r="B119" s="281" t="str">
        <f t="shared" ref="B119:G119" si="21">B111</f>
        <v>Thiết bị mạng</v>
      </c>
      <c r="C119" s="281" t="str">
        <f t="shared" si="21"/>
        <v>Cái</v>
      </c>
      <c r="D119" s="280">
        <f t="shared" si="21"/>
        <v>0.1</v>
      </c>
      <c r="E119" s="280">
        <f t="shared" si="21"/>
        <v>5</v>
      </c>
      <c r="F119" s="1413">
        <f t="shared" si="21"/>
        <v>2500000</v>
      </c>
      <c r="G119" s="1413">
        <f t="shared" si="21"/>
        <v>1000</v>
      </c>
      <c r="H119" s="338">
        <v>1.0950000000000001E-2</v>
      </c>
      <c r="I119" s="956">
        <f t="shared" si="16"/>
        <v>10.950000000000001</v>
      </c>
    </row>
    <row r="120" spans="1:10" ht="15.75">
      <c r="A120" s="280"/>
      <c r="B120" s="281" t="str">
        <f t="shared" ref="B120:G120" si="22">B112</f>
        <v>Điện năng</v>
      </c>
      <c r="C120" s="281" t="str">
        <f t="shared" si="22"/>
        <v>kW</v>
      </c>
      <c r="D120" s="280"/>
      <c r="E120" s="280"/>
      <c r="F120" s="1413">
        <f t="shared" si="22"/>
        <v>1686</v>
      </c>
      <c r="G120" s="1413">
        <f t="shared" si="22"/>
        <v>13488</v>
      </c>
      <c r="H120" s="955">
        <v>3.9347000000000007E-2</v>
      </c>
      <c r="I120" s="956">
        <f t="shared" si="16"/>
        <v>530.71233600000005</v>
      </c>
    </row>
    <row r="121" spans="1:10" ht="15.75">
      <c r="A121" s="280" t="str">
        <f>'Nhân công'!A30</f>
        <v>5.3.4</v>
      </c>
      <c r="B121" s="281" t="str">
        <f>'Nhân công'!B30</f>
        <v>Thửa đất loại IV (Thửa E)</v>
      </c>
      <c r="C121" s="280"/>
      <c r="D121" s="280"/>
      <c r="E121" s="555"/>
      <c r="F121" s="907"/>
      <c r="G121" s="907"/>
      <c r="H121" s="1734"/>
      <c r="I121" s="1743">
        <f>SUM(I122:I127)</f>
        <v>420.94938999999999</v>
      </c>
    </row>
    <row r="122" spans="1:10" ht="15.75">
      <c r="A122" s="280"/>
      <c r="B122" s="281" t="str">
        <f>B114</f>
        <v>Máy tính để bàn</v>
      </c>
      <c r="C122" s="281" t="str">
        <f t="shared" ref="C122:G122" si="23">C114</f>
        <v>Cái</v>
      </c>
      <c r="D122" s="280">
        <f t="shared" si="23"/>
        <v>0.4</v>
      </c>
      <c r="E122" s="280">
        <f t="shared" si="23"/>
        <v>5</v>
      </c>
      <c r="F122" s="1413">
        <f t="shared" si="23"/>
        <v>10000000</v>
      </c>
      <c r="G122" s="1413">
        <f t="shared" si="23"/>
        <v>4000</v>
      </c>
      <c r="H122" s="955">
        <v>4.3800000000000006E-2</v>
      </c>
      <c r="I122" s="956">
        <f t="shared" ref="I122:I128" si="24">$G122*H122</f>
        <v>175.20000000000002</v>
      </c>
    </row>
    <row r="123" spans="1:10" ht="15.75">
      <c r="A123" s="280"/>
      <c r="B123" s="281" t="str">
        <f t="shared" ref="B123:G128" si="25">B115</f>
        <v>Máy in laser</v>
      </c>
      <c r="C123" s="281" t="str">
        <f t="shared" si="25"/>
        <v>Cái</v>
      </c>
      <c r="D123" s="280">
        <f t="shared" si="25"/>
        <v>0.6</v>
      </c>
      <c r="E123" s="280">
        <f t="shared" si="25"/>
        <v>5</v>
      </c>
      <c r="F123" s="1413">
        <f t="shared" si="25"/>
        <v>2500000</v>
      </c>
      <c r="G123" s="1413">
        <f t="shared" si="25"/>
        <v>1000</v>
      </c>
      <c r="H123" s="338">
        <v>2.9200000000000003E-3</v>
      </c>
      <c r="I123" s="956">
        <f t="shared" si="24"/>
        <v>2.9200000000000004</v>
      </c>
    </row>
    <row r="124" spans="1:10" ht="15.75">
      <c r="A124" s="280"/>
      <c r="B124" s="281" t="str">
        <f t="shared" si="25"/>
        <v>Điều hoà nhiệt độ</v>
      </c>
      <c r="C124" s="281" t="str">
        <f t="shared" si="25"/>
        <v>Cái</v>
      </c>
      <c r="D124" s="280">
        <f t="shared" si="25"/>
        <v>2.2000000000000002</v>
      </c>
      <c r="E124" s="280">
        <f t="shared" si="25"/>
        <v>8</v>
      </c>
      <c r="F124" s="1413">
        <f t="shared" si="25"/>
        <v>12000000</v>
      </c>
      <c r="G124" s="1413">
        <f t="shared" si="25"/>
        <v>3000</v>
      </c>
      <c r="H124" s="338">
        <v>3.6500000000000005E-3</v>
      </c>
      <c r="I124" s="956">
        <f t="shared" si="24"/>
        <v>10.950000000000001</v>
      </c>
    </row>
    <row r="125" spans="1:10" ht="15.75">
      <c r="A125" s="280"/>
      <c r="B125" s="281" t="str">
        <f t="shared" si="25"/>
        <v>Máy chủ</v>
      </c>
      <c r="C125" s="281" t="str">
        <f t="shared" si="25"/>
        <v>Cái</v>
      </c>
      <c r="D125" s="280">
        <f t="shared" si="25"/>
        <v>1</v>
      </c>
      <c r="E125" s="280">
        <f t="shared" si="25"/>
        <v>10</v>
      </c>
      <c r="F125" s="1413">
        <f t="shared" si="25"/>
        <v>80000000</v>
      </c>
      <c r="G125" s="1413">
        <f t="shared" si="25"/>
        <v>16000</v>
      </c>
      <c r="H125" s="338">
        <v>1.0950000000000001E-2</v>
      </c>
      <c r="I125" s="956">
        <f>$G125*H125</f>
        <v>175.20000000000002</v>
      </c>
    </row>
    <row r="126" spans="1:10" ht="15.75">
      <c r="A126" s="280"/>
      <c r="B126" s="281" t="str">
        <f t="shared" si="25"/>
        <v>Hệ quản trị cơ sở dữ liệu thuộc tính</v>
      </c>
      <c r="C126" s="281" t="str">
        <f t="shared" si="25"/>
        <v>Bộ</v>
      </c>
      <c r="D126" s="280">
        <f t="shared" si="25"/>
        <v>0</v>
      </c>
      <c r="E126" s="280">
        <f t="shared" si="25"/>
        <v>10</v>
      </c>
      <c r="F126" s="1413">
        <f t="shared" si="25"/>
        <v>20881000</v>
      </c>
      <c r="G126" s="1413">
        <f t="shared" si="25"/>
        <v>4176.2</v>
      </c>
      <c r="H126" s="338">
        <v>1.0950000000000001E-2</v>
      </c>
      <c r="I126" s="956">
        <f t="shared" si="24"/>
        <v>45.729390000000002</v>
      </c>
    </row>
    <row r="127" spans="1:10" ht="15.75">
      <c r="A127" s="280"/>
      <c r="B127" s="281" t="str">
        <f t="shared" si="25"/>
        <v>Thiết bị mạng</v>
      </c>
      <c r="C127" s="281" t="str">
        <f t="shared" si="25"/>
        <v>Cái</v>
      </c>
      <c r="D127" s="280">
        <f t="shared" si="25"/>
        <v>0.1</v>
      </c>
      <c r="E127" s="280">
        <f t="shared" si="25"/>
        <v>5</v>
      </c>
      <c r="F127" s="1413">
        <f t="shared" si="25"/>
        <v>2500000</v>
      </c>
      <c r="G127" s="1413">
        <f t="shared" si="25"/>
        <v>1000</v>
      </c>
      <c r="H127" s="338">
        <v>1.0950000000000001E-2</v>
      </c>
      <c r="I127" s="956">
        <f t="shared" si="24"/>
        <v>10.950000000000001</v>
      </c>
    </row>
    <row r="128" spans="1:10" ht="15.75">
      <c r="A128" s="280"/>
      <c r="B128" s="281" t="str">
        <f t="shared" si="25"/>
        <v>Điện năng</v>
      </c>
      <c r="C128" s="281" t="str">
        <f t="shared" si="25"/>
        <v>kW</v>
      </c>
      <c r="D128" s="280"/>
      <c r="E128" s="280"/>
      <c r="F128" s="1413">
        <f t="shared" si="25"/>
        <v>1686</v>
      </c>
      <c r="G128" s="1413">
        <f t="shared" si="25"/>
        <v>13488</v>
      </c>
      <c r="H128" s="955">
        <v>3.9347000000000007E-2</v>
      </c>
      <c r="I128" s="956">
        <f t="shared" si="24"/>
        <v>530.71233600000005</v>
      </c>
    </row>
    <row r="129" spans="1:9" s="257" customFormat="1" ht="15.75">
      <c r="A129" s="275">
        <f>'Nhân công'!A31</f>
        <v>6</v>
      </c>
      <c r="B129" s="554" t="str">
        <f>'Nhân công'!B31</f>
        <v>Hoàn thiện dữ liệu địa chính</v>
      </c>
      <c r="C129" s="275"/>
      <c r="D129" s="275"/>
      <c r="E129" s="275"/>
      <c r="F129" s="553"/>
      <c r="G129" s="553"/>
      <c r="H129" s="1731"/>
      <c r="I129" s="1521"/>
    </row>
    <row r="130" spans="1:9" s="257" customFormat="1" ht="15.75">
      <c r="A130" s="280" t="str">
        <f>'Nhân công'!A32</f>
        <v>6.1</v>
      </c>
      <c r="B130" s="1168" t="str">
        <f>'Nhân công'!B32</f>
        <v>Hoàn thiện 100% thông tin trong CSDL</v>
      </c>
      <c r="C130" s="275"/>
      <c r="D130" s="275"/>
      <c r="E130" s="275"/>
      <c r="F130" s="553"/>
      <c r="G130" s="553"/>
      <c r="H130" s="1731"/>
      <c r="I130" s="1521">
        <f>SUM(I131:I135)</f>
        <v>141.67619999999999</v>
      </c>
    </row>
    <row r="131" spans="1:9" ht="15.75">
      <c r="A131" s="280"/>
      <c r="B131" s="281" t="s">
        <v>73</v>
      </c>
      <c r="C131" s="280" t="s">
        <v>130</v>
      </c>
      <c r="D131" s="280">
        <f>Gia_Tbi!$D$4</f>
        <v>0.4</v>
      </c>
      <c r="E131" s="280">
        <v>5</v>
      </c>
      <c r="F131" s="1413">
        <f>Gia_Tbi!$F$4</f>
        <v>10000000</v>
      </c>
      <c r="G131" s="1413">
        <f>Gia_Tbi!$G$4</f>
        <v>4000</v>
      </c>
      <c r="H131" s="1744">
        <v>8.0000000000000002E-3</v>
      </c>
      <c r="I131" s="956">
        <f>$G131*H131</f>
        <v>32</v>
      </c>
    </row>
    <row r="132" spans="1:9" ht="15.75">
      <c r="A132" s="280"/>
      <c r="B132" s="281" t="s">
        <v>24</v>
      </c>
      <c r="C132" s="280" t="s">
        <v>130</v>
      </c>
      <c r="D132" s="280">
        <f>Gia_Tbi!$D$6</f>
        <v>2.2000000000000002</v>
      </c>
      <c r="E132" s="280">
        <v>8</v>
      </c>
      <c r="F132" s="1413">
        <f>Gia_Tbi!$F$6</f>
        <v>12000000</v>
      </c>
      <c r="G132" s="1413">
        <f>Gia_Tbi!$G$6</f>
        <v>3000</v>
      </c>
      <c r="H132" s="1744">
        <v>6.9999999999999999E-4</v>
      </c>
      <c r="I132" s="956">
        <f t="shared" ref="I132:I135" si="26">$G132*H132</f>
        <v>2.1</v>
      </c>
    </row>
    <row r="133" spans="1:9" ht="15.75">
      <c r="A133" s="280"/>
      <c r="B133" s="281" t="str">
        <f t="shared" ref="B133:G133" si="27">B84</f>
        <v>Máy chủ</v>
      </c>
      <c r="C133" s="280" t="str">
        <f t="shared" si="27"/>
        <v>Cái</v>
      </c>
      <c r="D133" s="280">
        <f t="shared" si="27"/>
        <v>1</v>
      </c>
      <c r="E133" s="280">
        <f t="shared" si="27"/>
        <v>10</v>
      </c>
      <c r="F133" s="1413">
        <f>Gia_Tbi!$F$10</f>
        <v>80000000</v>
      </c>
      <c r="G133" s="1413">
        <f t="shared" si="27"/>
        <v>16000</v>
      </c>
      <c r="H133" s="1744">
        <v>2E-3</v>
      </c>
      <c r="I133" s="956">
        <f t="shared" si="26"/>
        <v>32</v>
      </c>
    </row>
    <row r="134" spans="1:9" ht="15.75">
      <c r="A134" s="280"/>
      <c r="B134" s="281" t="str">
        <f>B85</f>
        <v>Hệ quản trị dữ liệu không gian</v>
      </c>
      <c r="C134" s="280" t="s">
        <v>132</v>
      </c>
      <c r="D134" s="280"/>
      <c r="E134" s="280">
        <f>E85</f>
        <v>10</v>
      </c>
      <c r="F134" s="561">
        <f>Gia_Phanmem!$F$6</f>
        <v>357000000</v>
      </c>
      <c r="G134" s="1413">
        <f>G85</f>
        <v>71400</v>
      </c>
      <c r="H134" s="1744">
        <v>1E-3</v>
      </c>
      <c r="I134" s="956">
        <f t="shared" si="26"/>
        <v>71.400000000000006</v>
      </c>
    </row>
    <row r="135" spans="1:9" ht="15.75">
      <c r="A135" s="280"/>
      <c r="B135" s="281" t="str">
        <f>B102</f>
        <v>Hệ quản trị cơ sở dữ liệu thuộc tính</v>
      </c>
      <c r="C135" s="280" t="s">
        <v>132</v>
      </c>
      <c r="D135" s="280"/>
      <c r="E135" s="280">
        <f>E102</f>
        <v>10</v>
      </c>
      <c r="F135" s="1413">
        <f>Gia_Phanmem!$F$5</f>
        <v>20881000</v>
      </c>
      <c r="G135" s="1413">
        <f>G102</f>
        <v>4176.2</v>
      </c>
      <c r="H135" s="1744">
        <v>1E-3</v>
      </c>
      <c r="I135" s="956">
        <f t="shared" si="26"/>
        <v>4.1761999999999997</v>
      </c>
    </row>
    <row r="136" spans="1:9" ht="15.75">
      <c r="A136" s="280"/>
      <c r="B136" s="281" t="s">
        <v>8</v>
      </c>
      <c r="C136" s="280" t="s">
        <v>147</v>
      </c>
      <c r="D136" s="280"/>
      <c r="E136" s="555"/>
      <c r="F136" s="953">
        <f>Gia_Tbi!$F$13</f>
        <v>1686</v>
      </c>
      <c r="G136" s="954">
        <f>Gia_Tbi!$G$13</f>
        <v>13488</v>
      </c>
      <c r="H136" s="1734">
        <v>6.7000000000000002E-3</v>
      </c>
      <c r="I136" s="956">
        <f>$G136*H136</f>
        <v>90.369600000000005</v>
      </c>
    </row>
    <row r="137" spans="1:9" s="257" customFormat="1" ht="15.75">
      <c r="A137" s="280" t="str">
        <f>'Nhân công'!A33</f>
        <v>6.2</v>
      </c>
      <c r="B137" s="1168" t="str">
        <f>'Nhân công'!B33</f>
        <v>Xuất sổ địa chính (điện tử) theo khuôn dạng tệp tin PDF</v>
      </c>
      <c r="C137" s="275"/>
      <c r="D137" s="275"/>
      <c r="E137" s="275"/>
      <c r="F137" s="553"/>
      <c r="G137" s="553"/>
      <c r="H137" s="1731"/>
      <c r="I137" s="1521">
        <f>SUM(I138:I141)</f>
        <v>18.688100000000002</v>
      </c>
    </row>
    <row r="138" spans="1:9" ht="15.75">
      <c r="A138" s="280"/>
      <c r="B138" s="281" t="s">
        <v>73</v>
      </c>
      <c r="C138" s="280" t="s">
        <v>130</v>
      </c>
      <c r="D138" s="280">
        <f>Gia_Tbi!$D$4</f>
        <v>0.4</v>
      </c>
      <c r="E138" s="280">
        <v>5</v>
      </c>
      <c r="F138" s="561">
        <f>Gia_Tbi!$F$4</f>
        <v>10000000</v>
      </c>
      <c r="G138" s="561">
        <f>Gia_Tbi!$G$4</f>
        <v>4000</v>
      </c>
      <c r="H138" s="1744">
        <v>2E-3</v>
      </c>
      <c r="I138" s="956">
        <f>$G138*H138</f>
        <v>8</v>
      </c>
    </row>
    <row r="139" spans="1:9" ht="15.75">
      <c r="A139" s="280"/>
      <c r="B139" s="281" t="s">
        <v>24</v>
      </c>
      <c r="C139" s="280" t="s">
        <v>130</v>
      </c>
      <c r="D139" s="280">
        <f>Gia_Tbi!$D$6</f>
        <v>2.2000000000000002</v>
      </c>
      <c r="E139" s="280">
        <v>8</v>
      </c>
      <c r="F139" s="561">
        <f>Gia_Tbi!$F$6</f>
        <v>12000000</v>
      </c>
      <c r="G139" s="561">
        <f>Gia_Tbi!$G$6</f>
        <v>3000</v>
      </c>
      <c r="H139" s="1744">
        <v>2.0000000000000001E-4</v>
      </c>
      <c r="I139" s="956">
        <f t="shared" ref="I139:I141" si="28">$G139*H139</f>
        <v>0.6</v>
      </c>
    </row>
    <row r="140" spans="1:9" ht="15.75">
      <c r="A140" s="280"/>
      <c r="B140" s="281" t="str">
        <f t="shared" ref="B140:G140" si="29">B133</f>
        <v>Máy chủ</v>
      </c>
      <c r="C140" s="280" t="str">
        <f t="shared" si="29"/>
        <v>Cái</v>
      </c>
      <c r="D140" s="280">
        <f t="shared" si="29"/>
        <v>1</v>
      </c>
      <c r="E140" s="280">
        <f t="shared" si="29"/>
        <v>10</v>
      </c>
      <c r="F140" s="1413">
        <f>Gia_Tbi!$F$10</f>
        <v>80000000</v>
      </c>
      <c r="G140" s="561">
        <f t="shared" si="29"/>
        <v>16000</v>
      </c>
      <c r="H140" s="1744">
        <v>5.0000000000000001E-4</v>
      </c>
      <c r="I140" s="956">
        <f t="shared" si="28"/>
        <v>8</v>
      </c>
    </row>
    <row r="141" spans="1:9" ht="15.75">
      <c r="A141" s="280"/>
      <c r="B141" s="281" t="str">
        <f>B135</f>
        <v>Hệ quản trị cơ sở dữ liệu thuộc tính</v>
      </c>
      <c r="C141" s="280" t="s">
        <v>132</v>
      </c>
      <c r="D141" s="280"/>
      <c r="E141" s="280">
        <f>E135</f>
        <v>10</v>
      </c>
      <c r="F141" s="1413">
        <f>Gia_Phanmem!$F$5</f>
        <v>20881000</v>
      </c>
      <c r="G141" s="561">
        <f>G135</f>
        <v>4176.2</v>
      </c>
      <c r="H141" s="1744">
        <v>5.0000000000000001E-4</v>
      </c>
      <c r="I141" s="956">
        <f t="shared" si="28"/>
        <v>2.0880999999999998</v>
      </c>
    </row>
    <row r="142" spans="1:9" ht="15.75">
      <c r="A142" s="280"/>
      <c r="B142" s="281" t="s">
        <v>8</v>
      </c>
      <c r="C142" s="280" t="s">
        <v>147</v>
      </c>
      <c r="D142" s="280"/>
      <c r="E142" s="555"/>
      <c r="F142" s="953">
        <f>Gia_Tbi!$F$13</f>
        <v>1686</v>
      </c>
      <c r="G142" s="954">
        <f>Gia_Tbi!$G$13</f>
        <v>13488</v>
      </c>
      <c r="H142" s="1734">
        <v>1.6999999999999999E-3</v>
      </c>
      <c r="I142" s="956">
        <f>$G142*H142</f>
        <v>22.929599999999997</v>
      </c>
    </row>
    <row r="143" spans="1:9" s="257" customFormat="1" ht="15.75">
      <c r="A143" s="275">
        <f>'Nhân công'!A34</f>
        <v>7</v>
      </c>
      <c r="B143" s="554" t="str">
        <f>'Nhân công'!B34</f>
        <v>Xây dựng siêu dữ liệu địa chính</v>
      </c>
      <c r="C143" s="275"/>
      <c r="D143" s="275"/>
      <c r="E143" s="275"/>
      <c r="F143" s="553"/>
      <c r="G143" s="553"/>
      <c r="H143" s="1731"/>
      <c r="I143" s="1521"/>
    </row>
    <row r="144" spans="1:9" s="257" customFormat="1" ht="31.5">
      <c r="A144" s="280" t="str">
        <f>'Nhân công'!A35</f>
        <v>7.1</v>
      </c>
      <c r="B144" s="1168" t="str">
        <f>'Nhân công'!B35</f>
        <v>Thu nhận các thông tin cần thiết để xây dựng siêu dữ liệu (thông tin mô tả dữ liệu) địa chính</v>
      </c>
      <c r="C144" s="275"/>
      <c r="D144" s="275"/>
      <c r="E144" s="275"/>
      <c r="F144" s="553"/>
      <c r="G144" s="553"/>
      <c r="H144" s="1731"/>
      <c r="I144" s="1521">
        <f>SUM(I145:I146)</f>
        <v>12.9</v>
      </c>
    </row>
    <row r="145" spans="1:11" ht="15.75">
      <c r="A145" s="280"/>
      <c r="B145" s="281" t="s">
        <v>73</v>
      </c>
      <c r="C145" s="280" t="s">
        <v>130</v>
      </c>
      <c r="D145" s="280">
        <f>Gia_Tbi!$D$4</f>
        <v>0.4</v>
      </c>
      <c r="E145" s="280">
        <v>5</v>
      </c>
      <c r="F145" s="953">
        <f>Gia_Tbi!$F$4</f>
        <v>10000000</v>
      </c>
      <c r="G145" s="954">
        <f>Gia_Tbi!$G$4</f>
        <v>4000</v>
      </c>
      <c r="H145" s="1734">
        <v>3.0000000000000001E-3</v>
      </c>
      <c r="I145" s="956">
        <f>$G145*H145</f>
        <v>12</v>
      </c>
    </row>
    <row r="146" spans="1:11" ht="15.75">
      <c r="A146" s="280"/>
      <c r="B146" s="281" t="s">
        <v>24</v>
      </c>
      <c r="C146" s="280" t="s">
        <v>130</v>
      </c>
      <c r="D146" s="280">
        <f>Gia_Tbi!$D$6</f>
        <v>2.2000000000000002</v>
      </c>
      <c r="E146" s="280">
        <v>8</v>
      </c>
      <c r="F146" s="953">
        <f>Gia_Tbi!$F$6</f>
        <v>12000000</v>
      </c>
      <c r="G146" s="954">
        <f>Gia_Tbi!$G$6</f>
        <v>3000</v>
      </c>
      <c r="H146" s="1734">
        <v>2.9999999999999997E-4</v>
      </c>
      <c r="I146" s="956">
        <f>$G146*H146</f>
        <v>0.89999999999999991</v>
      </c>
    </row>
    <row r="147" spans="1:11" ht="15.75">
      <c r="A147" s="280"/>
      <c r="B147" s="281" t="s">
        <v>8</v>
      </c>
      <c r="C147" s="280" t="s">
        <v>147</v>
      </c>
      <c r="D147" s="280"/>
      <c r="E147" s="555"/>
      <c r="F147" s="953">
        <f>Gia_Tbi!$F$13</f>
        <v>1686</v>
      </c>
      <c r="G147" s="954">
        <f>Gia_Tbi!$G$13</f>
        <v>13488</v>
      </c>
      <c r="H147" s="1734">
        <v>1.8E-3</v>
      </c>
      <c r="I147" s="956">
        <f>$G147*H147</f>
        <v>24.278399999999998</v>
      </c>
    </row>
    <row r="148" spans="1:11" s="257" customFormat="1" ht="31.5">
      <c r="A148" s="280" t="str">
        <f>'Nhân công'!A36</f>
        <v>7.2</v>
      </c>
      <c r="B148" s="1168" t="str">
        <f>'Nhân công'!B36</f>
        <v>Nhập thông tin siêu dữ liệu địa chính cho từng đơn vị hành chính cấp xã</v>
      </c>
      <c r="C148" s="275"/>
      <c r="D148" s="275"/>
      <c r="E148" s="275"/>
      <c r="F148" s="553"/>
      <c r="G148" s="553"/>
      <c r="H148" s="1731"/>
      <c r="I148" s="1521">
        <f>SUM(I149:I152)</f>
        <v>0.75352400000000008</v>
      </c>
    </row>
    <row r="149" spans="1:11" ht="15.75">
      <c r="A149" s="280"/>
      <c r="B149" s="281" t="s">
        <v>73</v>
      </c>
      <c r="C149" s="280" t="s">
        <v>130</v>
      </c>
      <c r="D149" s="280">
        <f>Gia_Tbi!$D$4</f>
        <v>0.4</v>
      </c>
      <c r="E149" s="280">
        <v>5</v>
      </c>
      <c r="F149" s="317">
        <f>Gia_Tbi!$F$4</f>
        <v>10000000</v>
      </c>
      <c r="G149" s="1742">
        <f>Gia_Tbi!$G$4</f>
        <v>4000</v>
      </c>
      <c r="H149" s="1732">
        <v>8.0000000000000007E-5</v>
      </c>
      <c r="I149" s="956">
        <f t="shared" ref="I149:I153" si="30">$G149*H149</f>
        <v>0.32</v>
      </c>
      <c r="K149" s="1846">
        <f>D149*H149+D150*H150+D151*H151</f>
        <v>7.400000000000001E-5</v>
      </c>
    </row>
    <row r="150" spans="1:11" ht="15.75">
      <c r="A150" s="280"/>
      <c r="B150" s="281" t="s">
        <v>24</v>
      </c>
      <c r="C150" s="280" t="s">
        <v>130</v>
      </c>
      <c r="D150" s="280">
        <f>Gia_Tbi!$D$6</f>
        <v>2.2000000000000002</v>
      </c>
      <c r="E150" s="280">
        <v>8</v>
      </c>
      <c r="F150" s="317">
        <f>Gia_Tbi!$F$6</f>
        <v>12000000</v>
      </c>
      <c r="G150" s="1742">
        <f>Gia_Tbi!$G$6</f>
        <v>3000</v>
      </c>
      <c r="H150" s="1732">
        <v>1.0000000000000001E-5</v>
      </c>
      <c r="I150" s="956">
        <f t="shared" si="30"/>
        <v>3.0000000000000002E-2</v>
      </c>
    </row>
    <row r="151" spans="1:11" ht="15.75">
      <c r="A151" s="280"/>
      <c r="B151" s="281" t="str">
        <f t="shared" ref="B151:G151" si="31">B133</f>
        <v>Máy chủ</v>
      </c>
      <c r="C151" s="280" t="str">
        <f t="shared" si="31"/>
        <v>Cái</v>
      </c>
      <c r="D151" s="280">
        <f t="shared" si="31"/>
        <v>1</v>
      </c>
      <c r="E151" s="280">
        <f t="shared" si="31"/>
        <v>10</v>
      </c>
      <c r="F151" s="1413">
        <f>Gia_Tbi!$F$10</f>
        <v>80000000</v>
      </c>
      <c r="G151" s="1742">
        <f t="shared" si="31"/>
        <v>16000</v>
      </c>
      <c r="H151" s="1732">
        <v>2.0000000000000002E-5</v>
      </c>
      <c r="I151" s="956">
        <f t="shared" si="30"/>
        <v>0.32</v>
      </c>
    </row>
    <row r="152" spans="1:11" ht="15.75">
      <c r="A152" s="280"/>
      <c r="B152" s="281" t="str">
        <f>B135</f>
        <v>Hệ quản trị cơ sở dữ liệu thuộc tính</v>
      </c>
      <c r="C152" s="280" t="s">
        <v>132</v>
      </c>
      <c r="D152" s="280"/>
      <c r="E152" s="280">
        <f>E135</f>
        <v>10</v>
      </c>
      <c r="F152" s="1413">
        <f>Gia_Phanmem!$F$5</f>
        <v>20881000</v>
      </c>
      <c r="G152" s="1413">
        <f>G135</f>
        <v>4176.2</v>
      </c>
      <c r="H152" s="1732">
        <v>2.0000000000000002E-5</v>
      </c>
      <c r="I152" s="956">
        <f t="shared" si="30"/>
        <v>8.3524000000000001E-2</v>
      </c>
    </row>
    <row r="153" spans="1:11" ht="15.75">
      <c r="A153" s="280"/>
      <c r="B153" s="281" t="s">
        <v>8</v>
      </c>
      <c r="C153" s="280" t="s">
        <v>147</v>
      </c>
      <c r="D153" s="280"/>
      <c r="E153" s="555"/>
      <c r="F153" s="953">
        <f>Gia_Tbi!$F$13</f>
        <v>1686</v>
      </c>
      <c r="G153" s="954">
        <f>Gia_Tbi!$G$13</f>
        <v>13488</v>
      </c>
      <c r="H153" s="1732">
        <v>5.0000000000000002E-5</v>
      </c>
      <c r="I153" s="956">
        <f t="shared" si="30"/>
        <v>0.6744</v>
      </c>
    </row>
    <row r="154" spans="1:11" s="257" customFormat="1" ht="31.5">
      <c r="A154" s="275">
        <f>'Nhân công'!A37</f>
        <v>8</v>
      </c>
      <c r="B154" s="554" t="str">
        <f>'Nhân công'!B37</f>
        <v>Đối soát, tích hợp dữ liệu vào hệ thống (do Văn phòng Đăng ký đất đai thực hiện)</v>
      </c>
      <c r="C154" s="275"/>
      <c r="D154" s="275"/>
      <c r="E154" s="275"/>
      <c r="F154" s="553"/>
      <c r="G154" s="553"/>
      <c r="H154" s="1731"/>
      <c r="I154" s="1521"/>
    </row>
    <row r="155" spans="1:11" s="257" customFormat="1" ht="31.5">
      <c r="A155" s="280" t="str">
        <f>'Nhân công'!A38</f>
        <v>8.1</v>
      </c>
      <c r="B155" s="1168" t="str">
        <f>'Nhân công'!B38</f>
        <v>Đối soát thông tin của thửa đất trong CSDL với nguồn tài liệu, dữ liệu đã sử dụng để xây dựng CSDL</v>
      </c>
      <c r="C155" s="275"/>
      <c r="D155" s="275"/>
      <c r="E155" s="275"/>
      <c r="F155" s="553"/>
      <c r="G155" s="553"/>
      <c r="H155" s="1731"/>
      <c r="I155" s="1521">
        <f>SUM(I156:I159)</f>
        <v>52.840960000000003</v>
      </c>
    </row>
    <row r="156" spans="1:11" ht="15.75">
      <c r="A156" s="280"/>
      <c r="B156" s="281" t="s">
        <v>73</v>
      </c>
      <c r="C156" s="280" t="s">
        <v>130</v>
      </c>
      <c r="D156" s="280">
        <f>Gia_Tbi!$D$4</f>
        <v>0.4</v>
      </c>
      <c r="E156" s="280">
        <v>5</v>
      </c>
      <c r="F156" s="1413">
        <f>Gia_Tbi!$F$4</f>
        <v>10000000</v>
      </c>
      <c r="G156" s="1413">
        <f>Gia_Tbi!$G$4</f>
        <v>4000</v>
      </c>
      <c r="H156" s="1734">
        <v>6.0000000000000001E-3</v>
      </c>
      <c r="I156" s="956">
        <f>$G156*H156</f>
        <v>24</v>
      </c>
      <c r="K156" s="1518">
        <f>D156*H156+D157*H157+D158*H158</f>
        <v>5.000000000000001E-3</v>
      </c>
    </row>
    <row r="157" spans="1:11" ht="15.75">
      <c r="A157" s="280"/>
      <c r="B157" s="281" t="s">
        <v>24</v>
      </c>
      <c r="C157" s="280" t="s">
        <v>130</v>
      </c>
      <c r="D157" s="280">
        <f>Gia_Tbi!$D$6</f>
        <v>2.2000000000000002</v>
      </c>
      <c r="E157" s="280">
        <v>8</v>
      </c>
      <c r="F157" s="1413">
        <f>Gia_Tbi!$F$6</f>
        <v>12000000</v>
      </c>
      <c r="G157" s="1413">
        <f>Gia_Tbi!$G$6</f>
        <v>3000</v>
      </c>
      <c r="H157" s="1734">
        <v>5.0000000000000001E-4</v>
      </c>
      <c r="I157" s="956">
        <f t="shared" ref="I157:I159" si="32">$G157*H157</f>
        <v>1.5</v>
      </c>
    </row>
    <row r="158" spans="1:11" ht="15.75">
      <c r="A158" s="280"/>
      <c r="B158" s="281" t="str">
        <f t="shared" ref="B158:G158" si="33">B140</f>
        <v>Máy chủ</v>
      </c>
      <c r="C158" s="887" t="str">
        <f t="shared" si="33"/>
        <v>Cái</v>
      </c>
      <c r="D158" s="280">
        <f t="shared" si="33"/>
        <v>1</v>
      </c>
      <c r="E158" s="887">
        <f t="shared" si="33"/>
        <v>10</v>
      </c>
      <c r="F158" s="1413">
        <f>Gia_Tbi!$F$10</f>
        <v>80000000</v>
      </c>
      <c r="G158" s="1413">
        <f t="shared" si="33"/>
        <v>16000</v>
      </c>
      <c r="H158" s="1734">
        <v>1.5E-3</v>
      </c>
      <c r="I158" s="956">
        <f t="shared" si="32"/>
        <v>24</v>
      </c>
    </row>
    <row r="159" spans="1:11" ht="15.75">
      <c r="A159" s="280"/>
      <c r="B159" s="281" t="str">
        <f>B135</f>
        <v>Hệ quản trị cơ sở dữ liệu thuộc tính</v>
      </c>
      <c r="C159" s="280" t="s">
        <v>132</v>
      </c>
      <c r="D159" s="280"/>
      <c r="E159" s="280">
        <f>E135</f>
        <v>10</v>
      </c>
      <c r="F159" s="1413">
        <f>Gia_Phanmem!$F$5</f>
        <v>20881000</v>
      </c>
      <c r="G159" s="1413">
        <f>G135</f>
        <v>4176.2</v>
      </c>
      <c r="H159" s="1734">
        <v>8.0000000000000004E-4</v>
      </c>
      <c r="I159" s="956">
        <f t="shared" si="32"/>
        <v>3.3409599999999999</v>
      </c>
    </row>
    <row r="160" spans="1:11" ht="15.75">
      <c r="A160" s="280"/>
      <c r="B160" s="281" t="s">
        <v>8</v>
      </c>
      <c r="C160" s="280" t="s">
        <v>147</v>
      </c>
      <c r="D160" s="280"/>
      <c r="E160" s="555"/>
      <c r="F160" s="953">
        <f>Gia_Tbi!$F$13</f>
        <v>1686</v>
      </c>
      <c r="G160" s="1413">
        <f>Gia_Tbi!$G$13</f>
        <v>13488</v>
      </c>
      <c r="H160" s="1734">
        <v>5.0000000000000001E-3</v>
      </c>
      <c r="I160" s="956">
        <f>$G160*H160</f>
        <v>67.44</v>
      </c>
    </row>
    <row r="161" spans="1:11" s="257" customFormat="1" ht="15.75">
      <c r="A161" s="280" t="str">
        <f>'Nhân công'!A39</f>
        <v>8.2</v>
      </c>
      <c r="B161" s="1168" t="str">
        <f>'Nhân công'!B39</f>
        <v>Ký số vào sổ địa chính (điện tử)</v>
      </c>
      <c r="C161" s="275"/>
      <c r="D161" s="275"/>
      <c r="E161" s="275"/>
      <c r="F161" s="553"/>
      <c r="G161" s="553"/>
      <c r="H161" s="1731"/>
      <c r="I161" s="1521">
        <f>SUM(I162:I165)</f>
        <v>52.604799999999997</v>
      </c>
    </row>
    <row r="162" spans="1:11" ht="15.75">
      <c r="A162" s="280"/>
      <c r="B162" s="281" t="s">
        <v>73</v>
      </c>
      <c r="C162" s="280" t="s">
        <v>130</v>
      </c>
      <c r="D162" s="280">
        <f>Gia_Tbi!$D$4</f>
        <v>0.4</v>
      </c>
      <c r="E162" s="280">
        <v>5</v>
      </c>
      <c r="F162" s="561">
        <f>Gia_Tbi!$F$4</f>
        <v>10000000</v>
      </c>
      <c r="G162" s="561">
        <f>Gia_Tbi!$G$4</f>
        <v>4000</v>
      </c>
      <c r="H162" s="1734">
        <v>4.0000000000000001E-3</v>
      </c>
      <c r="I162" s="956">
        <f t="shared" ref="I162:I166" si="34">$G162*H162</f>
        <v>16</v>
      </c>
    </row>
    <row r="163" spans="1:11" ht="15.75">
      <c r="A163" s="280"/>
      <c r="B163" s="281" t="s">
        <v>24</v>
      </c>
      <c r="C163" s="280" t="s">
        <v>130</v>
      </c>
      <c r="D163" s="280">
        <f>Gia_Tbi!$D$6</f>
        <v>2.2000000000000002</v>
      </c>
      <c r="E163" s="280">
        <v>8</v>
      </c>
      <c r="F163" s="561">
        <f>Gia_Tbi!$F$6</f>
        <v>12000000</v>
      </c>
      <c r="G163" s="561">
        <f>Gia_Tbi!$G$6</f>
        <v>3000</v>
      </c>
      <c r="H163" s="1734">
        <v>1.2999999999999999E-3</v>
      </c>
      <c r="I163" s="956">
        <f t="shared" si="34"/>
        <v>3.9</v>
      </c>
      <c r="K163" s="1518">
        <f>D162*H162+D163*H163+D164*H164</f>
        <v>5.4600000000000004E-3</v>
      </c>
    </row>
    <row r="164" spans="1:11" ht="15.75">
      <c r="A164" s="280"/>
      <c r="B164" s="281" t="str">
        <f t="shared" ref="B164:G164" si="35">B158</f>
        <v>Máy chủ</v>
      </c>
      <c r="C164" s="280" t="str">
        <f t="shared" si="35"/>
        <v>Cái</v>
      </c>
      <c r="D164" s="280">
        <f t="shared" si="35"/>
        <v>1</v>
      </c>
      <c r="E164" s="280">
        <f t="shared" si="35"/>
        <v>10</v>
      </c>
      <c r="F164" s="1413">
        <f>Gia_Tbi!$F$10</f>
        <v>80000000</v>
      </c>
      <c r="G164" s="561">
        <f t="shared" si="35"/>
        <v>16000</v>
      </c>
      <c r="H164" s="1734">
        <v>1E-3</v>
      </c>
      <c r="I164" s="956">
        <f t="shared" si="34"/>
        <v>16</v>
      </c>
    </row>
    <row r="165" spans="1:11" ht="15.75">
      <c r="A165" s="280"/>
      <c r="B165" s="281" t="str">
        <f>B152</f>
        <v>Hệ quản trị cơ sở dữ liệu thuộc tính</v>
      </c>
      <c r="C165" s="280" t="s">
        <v>132</v>
      </c>
      <c r="D165" s="280"/>
      <c r="E165" s="280">
        <f>E152</f>
        <v>10</v>
      </c>
      <c r="F165" s="1413">
        <f>Gia_Phanmem!$F$5</f>
        <v>20881000</v>
      </c>
      <c r="G165" s="561">
        <f>G152</f>
        <v>4176.2</v>
      </c>
      <c r="H165" s="1734">
        <v>4.0000000000000001E-3</v>
      </c>
      <c r="I165" s="956">
        <f t="shared" si="34"/>
        <v>16.704799999999999</v>
      </c>
    </row>
    <row r="166" spans="1:11" ht="15.75">
      <c r="A166" s="280"/>
      <c r="B166" s="281" t="s">
        <v>8</v>
      </c>
      <c r="C166" s="280" t="s">
        <v>147</v>
      </c>
      <c r="D166" s="280"/>
      <c r="E166" s="555"/>
      <c r="F166" s="317">
        <f>Gia_Tbi!$F$13</f>
        <v>1686</v>
      </c>
      <c r="G166" s="1742">
        <f>Gia_Tbi!$G$13</f>
        <v>13488</v>
      </c>
      <c r="H166" s="1734">
        <v>5.4999999999999997E-3</v>
      </c>
      <c r="I166" s="956">
        <f t="shared" si="34"/>
        <v>74.183999999999997</v>
      </c>
    </row>
    <row r="167" spans="1:11" s="257" customFormat="1" ht="31.5">
      <c r="A167" s="280" t="str">
        <f>'Nhân công'!A40</f>
        <v>8.3</v>
      </c>
      <c r="B167" s="1168" t="str">
        <f>'Nhân công'!B40</f>
        <v>Tích hợp dữ liệu vào hệ thống theo định kỳ hàng tháng phục vụ quản lý, vận hành, khai thác sử dụng</v>
      </c>
      <c r="C167" s="275"/>
      <c r="D167" s="275"/>
      <c r="E167" s="275"/>
      <c r="F167" s="553"/>
      <c r="G167" s="553"/>
      <c r="H167" s="1731"/>
      <c r="I167" s="1521">
        <f>SUM(I168:I172)</f>
        <v>147.67619999999999</v>
      </c>
    </row>
    <row r="168" spans="1:11" ht="15.75">
      <c r="A168" s="280"/>
      <c r="B168" s="281" t="s">
        <v>73</v>
      </c>
      <c r="C168" s="280" t="s">
        <v>130</v>
      </c>
      <c r="D168" s="280">
        <f>Gia_Tbi!$D$4</f>
        <v>0.4</v>
      </c>
      <c r="E168" s="280">
        <v>5</v>
      </c>
      <c r="F168" s="561">
        <f>Gia_Tbi!$F$4</f>
        <v>10000000</v>
      </c>
      <c r="G168" s="561">
        <f>Gia_Tbi!$G$4</f>
        <v>4000</v>
      </c>
      <c r="H168" s="1734">
        <v>8.0000000000000002E-3</v>
      </c>
      <c r="I168" s="956">
        <f>$G168*H168</f>
        <v>32</v>
      </c>
      <c r="K168" s="1518">
        <f>D168*H168+D169*H169+D170*H170</f>
        <v>1.1140000000000001E-2</v>
      </c>
    </row>
    <row r="169" spans="1:11" ht="15.75">
      <c r="A169" s="280"/>
      <c r="B169" s="281" t="s">
        <v>24</v>
      </c>
      <c r="C169" s="280" t="s">
        <v>130</v>
      </c>
      <c r="D169" s="280">
        <f>Gia_Tbi!$D$6</f>
        <v>2.2000000000000002</v>
      </c>
      <c r="E169" s="280">
        <v>8</v>
      </c>
      <c r="F169" s="561">
        <f>Gia_Tbi!$F$6</f>
        <v>12000000</v>
      </c>
      <c r="G169" s="561">
        <f>Gia_Tbi!$G$6</f>
        <v>3000</v>
      </c>
      <c r="H169" s="1734">
        <v>2.7000000000000001E-3</v>
      </c>
      <c r="I169" s="956">
        <f t="shared" ref="I169:I172" si="36">$G169*H169</f>
        <v>8.1</v>
      </c>
    </row>
    <row r="170" spans="1:11" ht="15.75">
      <c r="A170" s="280"/>
      <c r="B170" s="281" t="str">
        <f t="shared" ref="B170:G170" si="37">B164</f>
        <v>Máy chủ</v>
      </c>
      <c r="C170" s="280" t="str">
        <f t="shared" si="37"/>
        <v>Cái</v>
      </c>
      <c r="D170" s="280">
        <f t="shared" si="37"/>
        <v>1</v>
      </c>
      <c r="E170" s="280">
        <f t="shared" si="37"/>
        <v>10</v>
      </c>
      <c r="F170" s="1413">
        <f>Gia_Tbi!$F$10</f>
        <v>80000000</v>
      </c>
      <c r="G170" s="561">
        <f t="shared" si="37"/>
        <v>16000</v>
      </c>
      <c r="H170" s="1734">
        <v>2E-3</v>
      </c>
      <c r="I170" s="956">
        <f t="shared" si="36"/>
        <v>32</v>
      </c>
    </row>
    <row r="171" spans="1:11" ht="15.75">
      <c r="A171" s="280"/>
      <c r="B171" s="281" t="str">
        <f>Gia_Phanmem!B6</f>
        <v>Hệ quản trị dữ liệu không gian</v>
      </c>
      <c r="C171" s="280" t="s">
        <v>132</v>
      </c>
      <c r="D171" s="280"/>
      <c r="E171" s="280">
        <f>Gia_Phanmem!E6</f>
        <v>10</v>
      </c>
      <c r="F171" s="561">
        <f>Gia_Phanmem!$F$6</f>
        <v>357000000</v>
      </c>
      <c r="G171" s="561">
        <f>Gia_Phanmem!G6</f>
        <v>71400</v>
      </c>
      <c r="H171" s="1745">
        <v>1E-3</v>
      </c>
      <c r="I171" s="956">
        <f t="shared" si="36"/>
        <v>71.400000000000006</v>
      </c>
    </row>
    <row r="172" spans="1:11" ht="15.75">
      <c r="A172" s="280"/>
      <c r="B172" s="281" t="str">
        <f>B159</f>
        <v>Hệ quản trị cơ sở dữ liệu thuộc tính</v>
      </c>
      <c r="C172" s="280" t="str">
        <f>C159</f>
        <v>Bộ</v>
      </c>
      <c r="D172" s="280"/>
      <c r="E172" s="280">
        <f>E159</f>
        <v>10</v>
      </c>
      <c r="F172" s="1413">
        <f>Gia_Phanmem!$F$5</f>
        <v>20881000</v>
      </c>
      <c r="G172" s="561">
        <f>G159</f>
        <v>4176.2</v>
      </c>
      <c r="H172" s="1745">
        <v>1E-3</v>
      </c>
      <c r="I172" s="956">
        <f t="shared" si="36"/>
        <v>4.1761999999999997</v>
      </c>
    </row>
    <row r="173" spans="1:11" ht="15.75">
      <c r="A173" s="280"/>
      <c r="B173" s="281" t="s">
        <v>8</v>
      </c>
      <c r="C173" s="280" t="s">
        <v>147</v>
      </c>
      <c r="D173" s="280"/>
      <c r="E173" s="555"/>
      <c r="F173" s="953">
        <f>Gia_Tbi!$F$13</f>
        <v>1686</v>
      </c>
      <c r="G173" s="954">
        <f>Gia_Tbi!$G$13</f>
        <v>13488</v>
      </c>
      <c r="H173" s="1734">
        <v>1.11E-2</v>
      </c>
      <c r="I173" s="956">
        <f>$G173*H173</f>
        <v>149.71680000000001</v>
      </c>
    </row>
    <row r="174" spans="1:11" s="257" customFormat="1" ht="15.75">
      <c r="A174" s="275">
        <f>'Nhân công'!A41</f>
        <v>9</v>
      </c>
      <c r="B174" s="554" t="str">
        <f>'Nhân công'!B41</f>
        <v>Phục vụ kiểm tra, nghiệm thu CSDL địa chính</v>
      </c>
      <c r="C174" s="275"/>
      <c r="D174" s="275"/>
      <c r="E174" s="275"/>
      <c r="F174" s="553"/>
      <c r="G174" s="553"/>
      <c r="H174" s="1731"/>
      <c r="I174" s="1521"/>
    </row>
    <row r="175" spans="1:11" s="257" customFormat="1" ht="63">
      <c r="A175" s="1746" t="s">
        <v>971</v>
      </c>
      <c r="B175" s="1168" t="str">
        <f>'Nhân công'!B42</f>
        <v>Chuẩn bị tư liệu, tài liệu và phục vụ giám sát, kiểm tra, nghiệm thu; tổng hợp, xác định khối lượng sản phẩm đã thực hiện theo định kỳ hàng tháng, theo công đoạn công trình và khi kết thúc công trình. Lập biên bản bàn giao dữ liệu địa chính</v>
      </c>
      <c r="C175" s="275"/>
      <c r="D175" s="275"/>
      <c r="E175" s="275"/>
      <c r="F175" s="553"/>
      <c r="G175" s="553"/>
      <c r="H175" s="1731"/>
      <c r="I175" s="1521">
        <f>SUM(I176:I177)</f>
        <v>7.8</v>
      </c>
    </row>
    <row r="176" spans="1:11" ht="15.75">
      <c r="A176" s="280"/>
      <c r="B176" s="281" t="s">
        <v>73</v>
      </c>
      <c r="C176" s="280" t="s">
        <v>130</v>
      </c>
      <c r="D176" s="280">
        <f>Gia_Tbi!$D$4</f>
        <v>0.4</v>
      </c>
      <c r="E176" s="280">
        <v>5</v>
      </c>
      <c r="F176" s="953">
        <f>Gia_Tbi!$F$4</f>
        <v>10000000</v>
      </c>
      <c r="G176" s="954">
        <f>Gia_Tbi!$G$4</f>
        <v>4000</v>
      </c>
      <c r="H176" s="1734">
        <v>1.8E-3</v>
      </c>
      <c r="I176" s="956">
        <f>$G176*H176</f>
        <v>7.2</v>
      </c>
      <c r="K176" s="1518">
        <f>D176*H176+D177*H177</f>
        <v>1.16E-3</v>
      </c>
    </row>
    <row r="177" spans="1:9" ht="15.75">
      <c r="A177" s="280"/>
      <c r="B177" s="281" t="s">
        <v>24</v>
      </c>
      <c r="C177" s="280" t="s">
        <v>130</v>
      </c>
      <c r="D177" s="280">
        <f>Gia_Tbi!$D$6</f>
        <v>2.2000000000000002</v>
      </c>
      <c r="E177" s="280">
        <v>8</v>
      </c>
      <c r="F177" s="953">
        <f>Gia_Tbi!$F$6</f>
        <v>12000000</v>
      </c>
      <c r="G177" s="954">
        <f>Gia_Tbi!$G$6</f>
        <v>3000</v>
      </c>
      <c r="H177" s="1734">
        <v>2.0000000000000001E-4</v>
      </c>
      <c r="I177" s="956">
        <f>$G177*H177</f>
        <v>0.6</v>
      </c>
    </row>
    <row r="178" spans="1:9" ht="15.75">
      <c r="A178" s="280"/>
      <c r="B178" s="281" t="s">
        <v>8</v>
      </c>
      <c r="C178" s="280" t="s">
        <v>147</v>
      </c>
      <c r="D178" s="280"/>
      <c r="E178" s="555"/>
      <c r="F178" s="953">
        <f>Gia_Tbi!$F$13</f>
        <v>1686</v>
      </c>
      <c r="G178" s="954">
        <f>Gia_Tbi!$G$13</f>
        <v>13488</v>
      </c>
      <c r="H178" s="1734">
        <v>1.1000000000000001E-3</v>
      </c>
      <c r="I178" s="956">
        <f>$G178*H178</f>
        <v>14.8368</v>
      </c>
    </row>
  </sheetData>
  <mergeCells count="1">
    <mergeCell ref="A1:I1"/>
  </mergeCells>
  <phoneticPr fontId="0" type="noConversion"/>
  <pageMargins left="0.86811023600000004" right="0.118110236220472" top="0.74803149606299202" bottom="0.40748031499999998" header="0.31496062992126" footer="0.31496062992126"/>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N60"/>
  <sheetViews>
    <sheetView zoomScale="85" zoomScaleNormal="85" workbookViewId="0">
      <selection activeCell="J17" sqref="J17"/>
    </sheetView>
  </sheetViews>
  <sheetFormatPr defaultColWidth="9" defaultRowHeight="15"/>
  <cols>
    <col min="1" max="1" width="5.625" style="1608" bestFit="1" customWidth="1"/>
    <col min="2" max="2" width="55.625" style="1601" customWidth="1"/>
    <col min="3" max="3" width="6.875" style="1608" customWidth="1"/>
    <col min="4" max="4" width="8.5" style="1601" customWidth="1"/>
    <col min="5" max="5" width="9.625" style="1609" bestFit="1" customWidth="1"/>
    <col min="6" max="6" width="9.75" style="1601" customWidth="1"/>
    <col min="7" max="7" width="10" style="1601" customWidth="1"/>
    <col min="8" max="8" width="8.75" style="1601" customWidth="1"/>
    <col min="9" max="9" width="10.125" style="1601" customWidth="1"/>
    <col min="10" max="11" width="9" style="1601" customWidth="1"/>
    <col min="12" max="16384" width="9" style="1601"/>
  </cols>
  <sheetData>
    <row r="1" spans="1:9" s="963" customFormat="1" ht="15.75">
      <c r="A1" s="1872" t="s">
        <v>1123</v>
      </c>
      <c r="B1" s="1872"/>
      <c r="C1" s="1872"/>
      <c r="D1" s="1872"/>
      <c r="E1" s="1872"/>
      <c r="F1" s="1872"/>
      <c r="G1" s="1872"/>
      <c r="H1" s="1872"/>
    </row>
    <row r="2" spans="1:9" s="963" customFormat="1" ht="15.75">
      <c r="A2" s="929"/>
      <c r="B2" s="488"/>
      <c r="C2" s="929"/>
      <c r="D2" s="488"/>
      <c r="E2" s="488"/>
      <c r="F2" s="930"/>
      <c r="G2" s="1596" t="s">
        <v>70</v>
      </c>
      <c r="H2" s="1597" t="s">
        <v>69</v>
      </c>
    </row>
    <row r="3" spans="1:9" s="967" customFormat="1" ht="76.5" customHeight="1">
      <c r="A3" s="1865" t="s">
        <v>14</v>
      </c>
      <c r="B3" s="1865" t="s">
        <v>2</v>
      </c>
      <c r="C3" s="1865" t="s">
        <v>20</v>
      </c>
      <c r="D3" s="1663" t="s">
        <v>98</v>
      </c>
      <c r="E3" s="1663" t="s">
        <v>18</v>
      </c>
      <c r="F3" s="1757" t="s">
        <v>100</v>
      </c>
      <c r="G3" s="1758" t="s">
        <v>1024</v>
      </c>
      <c r="H3" s="1758" t="s">
        <v>72</v>
      </c>
    </row>
    <row r="4" spans="1:9" s="967" customFormat="1" ht="15.75">
      <c r="A4" s="1863"/>
      <c r="B4" s="1863"/>
      <c r="C4" s="1863"/>
      <c r="D4" s="1833" t="s">
        <v>99</v>
      </c>
      <c r="E4" s="1591" t="s">
        <v>101</v>
      </c>
      <c r="F4" s="221" t="s">
        <v>102</v>
      </c>
      <c r="G4" s="345">
        <v>8</v>
      </c>
      <c r="H4" s="1759">
        <f>SUM(H5:H11)*1.05</f>
        <v>1120.9338323076925</v>
      </c>
    </row>
    <row r="5" spans="1:9" s="1747" customFormat="1" ht="15.75">
      <c r="A5" s="1665">
        <v>1</v>
      </c>
      <c r="B5" s="932" t="s">
        <v>52</v>
      </c>
      <c r="C5" s="8" t="str">
        <f>Gia_Dcu!C6</f>
        <v>Cái</v>
      </c>
      <c r="D5" s="8">
        <f>Gia_Dcu!D6</f>
        <v>24</v>
      </c>
      <c r="E5" s="933">
        <f>Gia_Dcu!E6</f>
        <v>13500</v>
      </c>
      <c r="F5" s="934">
        <f>Gia_Dcu!F6</f>
        <v>21.634615384615383</v>
      </c>
      <c r="G5" s="935">
        <v>7.8600000000000003E-2</v>
      </c>
      <c r="H5" s="1760">
        <f t="shared" ref="H5:H10" si="0">$F5*G5</f>
        <v>1.7004807692307693</v>
      </c>
    </row>
    <row r="6" spans="1:9" s="1747" customFormat="1" ht="15.75">
      <c r="A6" s="1665">
        <v>2</v>
      </c>
      <c r="B6" s="932" t="s">
        <v>53</v>
      </c>
      <c r="C6" s="8" t="str">
        <f>Gia_Dcu!C7</f>
        <v>Cái</v>
      </c>
      <c r="D6" s="8">
        <f>Gia_Dcu!D7</f>
        <v>60</v>
      </c>
      <c r="E6" s="933">
        <f>Gia_Dcu!E7</f>
        <v>1500000</v>
      </c>
      <c r="F6" s="934">
        <f>Gia_Dcu!F7</f>
        <v>961.53846153846155</v>
      </c>
      <c r="G6" s="935">
        <v>0.13100000000000001</v>
      </c>
      <c r="H6" s="1760">
        <f>$F6*G6</f>
        <v>125.96153846153847</v>
      </c>
    </row>
    <row r="7" spans="1:9" s="1747" customFormat="1" ht="15.75">
      <c r="A7" s="1665">
        <v>3</v>
      </c>
      <c r="B7" s="932" t="s">
        <v>54</v>
      </c>
      <c r="C7" s="8" t="str">
        <f>Gia_Dcu!C8</f>
        <v>Cái</v>
      </c>
      <c r="D7" s="8">
        <f>Gia_Dcu!D8</f>
        <v>96</v>
      </c>
      <c r="E7" s="933">
        <f>Gia_Dcu!E8</f>
        <v>360000</v>
      </c>
      <c r="F7" s="934">
        <f>Gia_Dcu!F8</f>
        <v>144.23076923076923</v>
      </c>
      <c r="G7" s="935">
        <v>0.3931</v>
      </c>
      <c r="H7" s="1760">
        <f>$F7*G7</f>
        <v>56.697115384615387</v>
      </c>
    </row>
    <row r="8" spans="1:9" s="1747" customFormat="1" ht="15.75">
      <c r="A8" s="1665">
        <v>4</v>
      </c>
      <c r="B8" s="932" t="s">
        <v>27</v>
      </c>
      <c r="C8" s="8" t="str">
        <f>Gia_Dcu!C9</f>
        <v>Cái</v>
      </c>
      <c r="D8" s="8">
        <f>Gia_Dcu!D9</f>
        <v>96</v>
      </c>
      <c r="E8" s="933">
        <f>Gia_Dcu!E9</f>
        <v>754000</v>
      </c>
      <c r="F8" s="934">
        <f>Gia_Dcu!F9</f>
        <v>302.08333333333337</v>
      </c>
      <c r="G8" s="935">
        <v>0.3931</v>
      </c>
      <c r="H8" s="1760">
        <f t="shared" si="0"/>
        <v>118.74895833333335</v>
      </c>
    </row>
    <row r="9" spans="1:9" s="1747" customFormat="1" ht="15.75">
      <c r="A9" s="1665">
        <v>5</v>
      </c>
      <c r="B9" s="932" t="s">
        <v>55</v>
      </c>
      <c r="C9" s="8" t="str">
        <f>Gia_Dcu!C10</f>
        <v>Cái</v>
      </c>
      <c r="D9" s="8">
        <f>Gia_Dcu!D10</f>
        <v>96</v>
      </c>
      <c r="E9" s="933">
        <f>Gia_Dcu!E10</f>
        <v>870000</v>
      </c>
      <c r="F9" s="934">
        <f>Gia_Dcu!F10</f>
        <v>348.55769230769232</v>
      </c>
      <c r="G9" s="935">
        <v>9.8299999999999998E-2</v>
      </c>
      <c r="H9" s="1760">
        <f t="shared" si="0"/>
        <v>34.263221153846153</v>
      </c>
    </row>
    <row r="10" spans="1:9" s="1747" customFormat="1" ht="15.75">
      <c r="A10" s="1665">
        <v>6</v>
      </c>
      <c r="B10" s="932" t="s">
        <v>56</v>
      </c>
      <c r="C10" s="8" t="str">
        <f>Gia_Dcu!C11</f>
        <v>Cái</v>
      </c>
      <c r="D10" s="8">
        <f>Gia_Dcu!D11</f>
        <v>24</v>
      </c>
      <c r="E10" s="933">
        <f>Gia_Dcu!E11</f>
        <v>65000</v>
      </c>
      <c r="F10" s="934">
        <f>Gia_Dcu!F11</f>
        <v>104.16666666666667</v>
      </c>
      <c r="G10" s="935">
        <v>0.3931</v>
      </c>
      <c r="H10" s="1760">
        <f t="shared" si="0"/>
        <v>40.947916666666671</v>
      </c>
    </row>
    <row r="11" spans="1:9" s="1747" customFormat="1" ht="15.75">
      <c r="A11" s="1667">
        <v>7</v>
      </c>
      <c r="B11" s="938" t="s">
        <v>58</v>
      </c>
      <c r="C11" s="59"/>
      <c r="D11" s="1598">
        <v>1</v>
      </c>
      <c r="E11" s="939">
        <f>Gia_Dcu!E12</f>
        <v>1686</v>
      </c>
      <c r="F11" s="920">
        <f>Gia_Dcu!F12</f>
        <v>13488</v>
      </c>
      <c r="G11" s="940">
        <v>5.11E-2</v>
      </c>
      <c r="H11" s="1761">
        <f>$F11*G11*D11</f>
        <v>689.23680000000002</v>
      </c>
    </row>
    <row r="13" spans="1:9" s="963" customFormat="1" ht="31.5">
      <c r="A13" s="1594" t="s">
        <v>14</v>
      </c>
      <c r="B13" s="1594" t="s">
        <v>109</v>
      </c>
      <c r="C13" s="1594" t="s">
        <v>20</v>
      </c>
      <c r="D13" s="1594" t="s">
        <v>28</v>
      </c>
      <c r="E13" s="1594" t="s">
        <v>19</v>
      </c>
    </row>
    <row r="14" spans="1:9" ht="15.75">
      <c r="A14" s="1599">
        <f>'Nhân công'!A4</f>
        <v>1</v>
      </c>
      <c r="B14" s="1138" t="str">
        <f>'Nhân công'!B4</f>
        <v>Công tác chuẩn bị</v>
      </c>
      <c r="C14" s="309"/>
      <c r="D14" s="944"/>
      <c r="E14" s="918"/>
    </row>
    <row r="15" spans="1:9" ht="63">
      <c r="A15" s="1602" t="str">
        <f>'Nhân công'!A5</f>
        <v>1.1</v>
      </c>
      <c r="B15" s="1136" t="str">
        <f>'Nhân công'!B5</f>
        <v>Lập kế hoạch thi công chi tiết: xác định thời gian, địa điểm, khối lượng và nhân lực thực hiện của từng bước công việc; lập kế hoạch làm việc với các đơn vị có liên quan đến công tác xây dựng CSDL địa chính trên địa bàn thi công</v>
      </c>
      <c r="C15" s="309" t="str">
        <f>'Nhân công'!C5</f>
        <v>Thửa</v>
      </c>
      <c r="D15" s="944">
        <v>3.0000000000000001E-3</v>
      </c>
      <c r="E15" s="918">
        <f>D15*$H$4</f>
        <v>3.3628014969230775</v>
      </c>
      <c r="G15" s="1487"/>
      <c r="I15" s="1748"/>
    </row>
    <row r="16" spans="1:9" ht="45" customHeight="1">
      <c r="A16" s="1602" t="str">
        <f>'Nhân công'!A6</f>
        <v>1.2</v>
      </c>
      <c r="B16" s="1136" t="str">
        <f>'Nhân công'!B6</f>
        <v>Chuẩn bị nhân lực, địa điểm làm việc; chuẩn bị vật tư, thiết bị, dụng cụ, phần mềm phục vụ cho công tác xây dựng CSDL địa chính.</v>
      </c>
      <c r="C16" s="309" t="str">
        <f>'Nhân công'!C6</f>
        <v>Thửa</v>
      </c>
      <c r="D16" s="944">
        <v>3.0000000000000001E-3</v>
      </c>
      <c r="E16" s="918">
        <f>D16*$H$4</f>
        <v>3.3628014969230775</v>
      </c>
      <c r="G16" s="1487"/>
      <c r="I16" s="1748"/>
    </row>
    <row r="17" spans="1:14" ht="30" customHeight="1">
      <c r="A17" s="1599">
        <f>'Nhân công'!A7</f>
        <v>2</v>
      </c>
      <c r="B17" s="1749" t="str">
        <f>'Nhân công'!B7</f>
        <v>Thu thập tài liệu, dữ liệu</v>
      </c>
      <c r="C17" s="309" t="str">
        <f>'Nhân công'!C7</f>
        <v>Thửa</v>
      </c>
      <c r="D17" s="944">
        <v>1.1299999999999999E-2</v>
      </c>
      <c r="E17" s="918">
        <f>D17*$H$4</f>
        <v>12.666552305076923</v>
      </c>
      <c r="G17" s="1487"/>
      <c r="I17" s="1748"/>
    </row>
    <row r="18" spans="1:14" ht="15.75">
      <c r="A18" s="1599">
        <f>'Nhân công'!A8</f>
        <v>3</v>
      </c>
      <c r="B18" s="1138" t="str">
        <f>'Nhân công'!B8</f>
        <v xml:space="preserve">Rà soát, đánh giá, phân loại và sắp xếp tài liệu, dữ liệu </v>
      </c>
      <c r="C18" s="309"/>
      <c r="D18" s="944">
        <v>0</v>
      </c>
      <c r="E18" s="918"/>
      <c r="G18" s="1487"/>
      <c r="I18" s="1748"/>
    </row>
    <row r="19" spans="1:14" ht="15.75">
      <c r="A19" s="1602" t="str">
        <f>'Nhân công'!A9</f>
        <v>3.1</v>
      </c>
      <c r="B19" s="1136" t="str">
        <f>'Nhân công'!B9</f>
        <v>Rà soát, đánh giá tài liệu, dữ liệu; lập báo cáo kết quả thực hiện</v>
      </c>
      <c r="C19" s="309" t="str">
        <f>'Nhân công'!C9</f>
        <v>Thửa</v>
      </c>
      <c r="D19" s="944">
        <v>1.6E-2</v>
      </c>
      <c r="E19" s="918">
        <f>D19*$H$4</f>
        <v>17.93494131692308</v>
      </c>
      <c r="G19" s="1487"/>
      <c r="I19" s="1748"/>
      <c r="N19" s="1750"/>
    </row>
    <row r="20" spans="1:14" ht="15.75">
      <c r="A20" s="1602" t="str">
        <f>'Nhân công'!A10</f>
        <v>3.2</v>
      </c>
      <c r="B20" s="1136" t="str">
        <f>'Nhân công'!B10</f>
        <v>Phân loại thửa đất; lập biểu tổng hợp</v>
      </c>
      <c r="C20" s="309" t="str">
        <f>'Nhân công'!C10</f>
        <v>Thửa</v>
      </c>
      <c r="D20" s="944">
        <v>1.8700000000000001E-2</v>
      </c>
      <c r="E20" s="918">
        <f>D20*$H$4</f>
        <v>20.961462664153849</v>
      </c>
      <c r="G20" s="1487"/>
      <c r="I20" s="1748"/>
      <c r="N20" s="1750"/>
    </row>
    <row r="21" spans="1:14" ht="110.25">
      <c r="A21" s="1602" t="str">
        <f>'Nhân công'!A11</f>
        <v>3.3</v>
      </c>
      <c r="B21" s="1136" t="str">
        <f>'Nhân công'!B11</f>
        <v>Làm sạch, sắp xếp và đánh số thứ tự theo quy định về hồ sơ địa chính đối với Hồ sơ đăng ký đất đai, tài sản gắn liền với đất (Chỉ thực hiện đối với các thửa đã được cấp GCN; trường hợp tổ chức xây dựng CSDL đất đai kết hợp với tổ chức sắp xếp lại kho lưu trữ tài liệu đất đai thì định mức sắp xếp kho lưu trữ được tính theo định mức kinh tế - kỹ thuật về lưu trữ tài liệu đất đai và định mức xây dựng CSDL đất đai không tính nội dung công việc này)</v>
      </c>
      <c r="C21" s="309" t="str">
        <f>'Nhân công'!C11</f>
        <v>Thửa</v>
      </c>
      <c r="D21" s="944">
        <v>2.0199999999999999E-2</v>
      </c>
      <c r="E21" s="918">
        <f>D21*$H$4</f>
        <v>22.642863412615387</v>
      </c>
      <c r="G21" s="1487"/>
      <c r="I21" s="1748"/>
      <c r="N21" s="1750"/>
    </row>
    <row r="22" spans="1:14" ht="15.75">
      <c r="A22" s="1599">
        <f>'Nhân công'!A12</f>
        <v>4</v>
      </c>
      <c r="B22" s="1138" t="str">
        <f>'Nhân công'!B12</f>
        <v>Xây dựng dữ liệu không gian địa chính</v>
      </c>
      <c r="C22" s="312"/>
      <c r="D22" s="1600">
        <v>0</v>
      </c>
      <c r="E22" s="917"/>
      <c r="G22" s="1487"/>
      <c r="I22" s="1748"/>
    </row>
    <row r="23" spans="1:14" ht="15.75">
      <c r="A23" s="1751" t="str">
        <f>'Nhân công'!A13</f>
        <v>4.1</v>
      </c>
      <c r="B23" s="1137" t="str">
        <f>'Nhân công'!B13</f>
        <v>Chuẩn hóa các lớp đối tượng không gian địa chính</v>
      </c>
      <c r="C23" s="838"/>
      <c r="D23" s="944">
        <v>0</v>
      </c>
      <c r="E23" s="918"/>
      <c r="G23" s="1487"/>
      <c r="I23" s="1748"/>
    </row>
    <row r="24" spans="1:14" ht="47.25">
      <c r="A24" s="1751" t="str">
        <f>'Nhân công'!A14</f>
        <v>4.1.1</v>
      </c>
      <c r="B24" s="1137" t="str">
        <f>'Nhân công'!B14</f>
        <v>Lập bảng đối chiếu giữa lớp đối tượng không gian địa chính với nội dung tương ứng trong bản đồ địa chính để tách, lọc các đối tượng từ nội dung bản đồ địa chính</v>
      </c>
      <c r="C24" s="838" t="str">
        <f>'Nhân công'!C14</f>
        <v>Thửa</v>
      </c>
      <c r="D24" s="944">
        <v>3.8999999999999998E-3</v>
      </c>
      <c r="E24" s="918">
        <f>D24*$H$4</f>
        <v>4.3716419460000004</v>
      </c>
      <c r="G24" s="1487"/>
      <c r="I24" s="1748"/>
    </row>
    <row r="25" spans="1:14" ht="31.5">
      <c r="A25" s="1751" t="str">
        <f>'Nhân công'!A15</f>
        <v>4.1.2</v>
      </c>
      <c r="B25" s="1137" t="str">
        <f>'Nhân công'!B15</f>
        <v>Chuẩn hóa các lớp đối tượng không gian địa chính chưa phù hợp với quy định kỹ thuật về CSDL đất đai</v>
      </c>
      <c r="C25" s="838" t="str">
        <f>'Nhân công'!C15</f>
        <v>Thửa</v>
      </c>
      <c r="D25" s="944">
        <v>2.0199999999999999E-2</v>
      </c>
      <c r="E25" s="918">
        <f>D25*$H$4</f>
        <v>22.642863412615387</v>
      </c>
      <c r="G25" s="1487"/>
      <c r="I25" s="1748"/>
    </row>
    <row r="26" spans="1:14" ht="31.5">
      <c r="A26" s="1751" t="str">
        <f>'Nhân công'!A16</f>
        <v>4.1.3</v>
      </c>
      <c r="B26" s="1137" t="str">
        <f>'Nhân công'!B16</f>
        <v>Rà soát chuẩn hóa thông tin thuộc tính cho từng đối tượng không gian địa chính theo quy định kỹ thuật về CSDL đất đai</v>
      </c>
      <c r="C26" s="838" t="str">
        <f>'Nhân công'!C16</f>
        <v>Thửa</v>
      </c>
      <c r="D26" s="944">
        <v>3.7100000000000001E-2</v>
      </c>
      <c r="E26" s="918">
        <f>D26*$H$4</f>
        <v>41.586645178615392</v>
      </c>
      <c r="G26" s="1487"/>
      <c r="I26" s="1748"/>
    </row>
    <row r="27" spans="1:14" ht="31.5">
      <c r="A27" s="1751" t="str">
        <f>'Nhân công'!A17</f>
        <v>4.2</v>
      </c>
      <c r="B27" s="1137" t="str">
        <f>'Nhân công'!B17</f>
        <v>Chuyển đổi các lớp đối tượng không gian địa chính từ tệp (File) bản đồ số vào CSDL theo phạm vi đơn vị hành chính cấp xã</v>
      </c>
      <c r="C27" s="838" t="str">
        <f>'Nhân công'!C17</f>
        <v>Thửa</v>
      </c>
      <c r="D27" s="944">
        <v>4.4000000000000003E-3</v>
      </c>
      <c r="E27" s="918">
        <f>D27*$H$4</f>
        <v>4.9321088621538474</v>
      </c>
      <c r="G27" s="1487"/>
      <c r="I27" s="1748"/>
    </row>
    <row r="28" spans="1:14" ht="15.75">
      <c r="A28" s="1751" t="str">
        <f>'Nhân công'!A18</f>
        <v>4.3</v>
      </c>
      <c r="B28" s="1137" t="str">
        <f>'Nhân công'!B18</f>
        <v>Đối với khu vực chưa có bản đồ đia chính</v>
      </c>
      <c r="C28" s="838"/>
      <c r="D28" s="944">
        <v>0</v>
      </c>
      <c r="E28" s="918"/>
      <c r="G28" s="1487"/>
      <c r="I28" s="1748"/>
    </row>
    <row r="29" spans="1:14" ht="31.5">
      <c r="A29" s="1751" t="str">
        <f>'Nhân công'!A19</f>
        <v>4.3.1</v>
      </c>
      <c r="B29" s="1137" t="str">
        <f>'Nhân công'!B19</f>
        <v>Chuyển đổi bản trích đo địa chính theo hệ tọa độ quốc gia VN-2000 vào dữ liệu không gian địa chính</v>
      </c>
      <c r="C29" s="838" t="str">
        <f>'Nhân công'!C19</f>
        <v>Thửa</v>
      </c>
      <c r="D29" s="944">
        <v>7.4200000000000002E-2</v>
      </c>
      <c r="E29" s="918">
        <f>D29*$H$4</f>
        <v>83.173290357230783</v>
      </c>
      <c r="G29" s="1487"/>
      <c r="I29" s="1748"/>
    </row>
    <row r="30" spans="1:14" ht="47.25">
      <c r="A30" s="1751" t="str">
        <f>'Nhân công'!A20</f>
        <v>4.3.2</v>
      </c>
      <c r="B30" s="1137" t="str">
        <f>'Nhân công'!B20</f>
        <v>Chuyển đổi vào dữ liệu không gian địa chính và định vị trên dữ liệu không gian đất đai nền sơ đồ, bản trích đo địa chính chưa theo hệ tọa độ quốc gia VN-2000 hoặc bản đồ giải thửa dạng số</v>
      </c>
      <c r="C30" s="838" t="str">
        <f>'Nhân công'!C20</f>
        <v>Thửa</v>
      </c>
      <c r="D30" s="944">
        <v>0.14829999999999999</v>
      </c>
      <c r="E30" s="918">
        <f>D30*$H$4</f>
        <v>166.23448733123078</v>
      </c>
      <c r="G30" s="1487"/>
      <c r="I30" s="1748"/>
    </row>
    <row r="31" spans="1:14" ht="47.25">
      <c r="A31" s="1751" t="str">
        <f>'Nhân công'!A21</f>
        <v>4.3.3</v>
      </c>
      <c r="B31" s="1137" t="str">
        <f>'Nhân công'!B21</f>
        <v xml:space="preserve"> Quét và định vị sơ bộ trên dữ liệu không gian đất đai nền sơ đồ, bản trích đo địa chính theo hệ tọa độ giả định hoặc bản đồ giải thửa dạng giấy</v>
      </c>
      <c r="C31" s="838" t="str">
        <f>'Nhân công'!C21</f>
        <v>Thửa</v>
      </c>
      <c r="D31" s="944">
        <v>7.4200000000000002E-2</v>
      </c>
      <c r="E31" s="918">
        <f>D31*$H$4</f>
        <v>83.173290357230783</v>
      </c>
      <c r="G31" s="1487"/>
      <c r="I31" s="1748"/>
    </row>
    <row r="32" spans="1:14" ht="31.5">
      <c r="A32" s="1751" t="str">
        <f>'Nhân công'!A22</f>
        <v>4.4</v>
      </c>
      <c r="B32" s="1137" t="str">
        <f>'Nhân công'!B22</f>
        <v>Định vị khu vực dồn điền đổi thửa trên dữ liệu không gian đất đai nền trên cơ sở các hồ sơ, tài liệu hiện có</v>
      </c>
      <c r="C32" s="838" t="str">
        <f>'Nhân công'!C22</f>
        <v>Thửa</v>
      </c>
      <c r="D32" s="944">
        <v>7.4200000000000002E-2</v>
      </c>
      <c r="E32" s="918">
        <f>D32*$H$4</f>
        <v>83.173290357230783</v>
      </c>
      <c r="G32" s="1487"/>
      <c r="I32" s="1748"/>
    </row>
    <row r="33" spans="1:9" ht="15.75">
      <c r="A33" s="1599">
        <f>'Nhân công'!A23</f>
        <v>5</v>
      </c>
      <c r="B33" s="1138" t="str">
        <f>'Nhân công'!B23</f>
        <v>Xây dựng dữ liệu thuộc tính địa chính</v>
      </c>
      <c r="C33" s="309"/>
      <c r="D33" s="944">
        <v>0</v>
      </c>
      <c r="E33" s="918"/>
      <c r="G33" s="1487"/>
      <c r="I33" s="1748"/>
    </row>
    <row r="34" spans="1:9" ht="31.5">
      <c r="A34" s="1602" t="str">
        <f>'Nhân công'!A24</f>
        <v>5.1</v>
      </c>
      <c r="B34" s="1136" t="str">
        <f>'Nhân công'!B24</f>
        <v>Kiểm tra tính đầy đủ thông tin của thửa đất, lựa chọn tài liệu theo thứ tự ưu tiên</v>
      </c>
      <c r="C34" s="309" t="str">
        <f>'Nhân công'!C24</f>
        <v>Thửa</v>
      </c>
      <c r="D34" s="944">
        <v>2.9700000000000001E-2</v>
      </c>
      <c r="E34" s="918">
        <f>D34*$H$4</f>
        <v>33.291734819538469</v>
      </c>
      <c r="G34" s="1487"/>
      <c r="I34" s="1748"/>
    </row>
    <row r="35" spans="1:9" ht="47.25">
      <c r="A35" s="1602" t="str">
        <f>'Nhân công'!A25</f>
        <v>5.2</v>
      </c>
      <c r="B35" s="1136" t="str">
        <f>'Nhân công'!B25</f>
        <v>Lập bảng tham chiếu số thửa cũ và số thửa mới đối với các thửa đất đã được cấp Giấy chứng nhận theo bản đồ cũ nhưng chưa cấp đổi Giấy chứng nhận</v>
      </c>
      <c r="C35" s="309" t="str">
        <f>'Nhân công'!C25</f>
        <v>Thửa</v>
      </c>
      <c r="D35" s="944">
        <v>1.47E-2</v>
      </c>
      <c r="E35" s="918">
        <f>D35*$H$4</f>
        <v>16.477727334923078</v>
      </c>
      <c r="G35" s="1487"/>
      <c r="I35" s="1748"/>
    </row>
    <row r="36" spans="1:9" ht="15.75">
      <c r="A36" s="1602" t="s">
        <v>142</v>
      </c>
      <c r="B36" s="1136" t="str">
        <f>'Nhân công'!B26</f>
        <v>Nhập thông tin từ tài liệu đã lựa chọn</v>
      </c>
      <c r="C36" s="309"/>
      <c r="D36" s="944">
        <v>0</v>
      </c>
      <c r="E36" s="918"/>
      <c r="G36" s="1487"/>
      <c r="I36" s="1748"/>
    </row>
    <row r="37" spans="1:9" ht="15.75">
      <c r="A37" s="1602" t="str">
        <f>'Nhân công'!A27</f>
        <v>5.3.1</v>
      </c>
      <c r="B37" s="1136" t="str">
        <f>'Nhân công'!B27</f>
        <v>Thửa đất loại I (Thửa A)</v>
      </c>
      <c r="C37" s="309" t="str">
        <f>'Nhân công'!C27</f>
        <v>Thửa</v>
      </c>
      <c r="D37" s="944">
        <v>0.32469999999999999</v>
      </c>
      <c r="E37" s="918">
        <f>D37*$H$4</f>
        <v>363.96721535030775</v>
      </c>
      <c r="G37" s="1487"/>
      <c r="I37" s="1748"/>
    </row>
    <row r="38" spans="1:9" ht="15.75">
      <c r="A38" s="1602" t="str">
        <f>'Nhân công'!A28</f>
        <v>5.3.2</v>
      </c>
      <c r="B38" s="830" t="str">
        <f>'Nhân công'!B28</f>
        <v>Thửa đất loại II (Thửa B và D)</v>
      </c>
      <c r="C38" s="1752" t="str">
        <f>'Nhân công'!C28</f>
        <v>Thửa</v>
      </c>
      <c r="D38" s="1753">
        <f>+D37*1.2</f>
        <v>0.38963999999999999</v>
      </c>
      <c r="E38" s="1754">
        <f>D38*$H$4</f>
        <v>436.76065842036928</v>
      </c>
      <c r="G38" s="1487"/>
      <c r="I38" s="1748"/>
    </row>
    <row r="39" spans="1:9" ht="15.75">
      <c r="A39" s="1602" t="str">
        <f>'Nhân công'!A29</f>
        <v>5.3.3</v>
      </c>
      <c r="B39" s="830" t="str">
        <f>'Nhân công'!B29</f>
        <v>Thửa đất loại III (Thửa C)</v>
      </c>
      <c r="C39" s="1752" t="str">
        <f>'Nhân công'!C29</f>
        <v>Thửa</v>
      </c>
      <c r="D39" s="1753">
        <f>+D37*0.5</f>
        <v>0.16234999999999999</v>
      </c>
      <c r="E39" s="1754">
        <f>D39*$H$4</f>
        <v>181.98360767515388</v>
      </c>
      <c r="G39" s="1487"/>
      <c r="I39" s="1748"/>
    </row>
    <row r="40" spans="1:9" ht="15.75">
      <c r="A40" s="1602" t="str">
        <f>'Nhân công'!A30</f>
        <v>5.3.4</v>
      </c>
      <c r="B40" s="830" t="str">
        <f>'Nhân công'!B30</f>
        <v>Thửa đất loại IV (Thửa E)</v>
      </c>
      <c r="C40" s="1752" t="str">
        <f>'Nhân công'!C30</f>
        <v>Thửa</v>
      </c>
      <c r="D40" s="1753">
        <f>+D37*0.5</f>
        <v>0.16234999999999999</v>
      </c>
      <c r="E40" s="1754">
        <f>D40*$H$4</f>
        <v>181.98360767515388</v>
      </c>
      <c r="G40" s="1487"/>
      <c r="I40" s="1748"/>
    </row>
    <row r="41" spans="1:9" ht="15.75">
      <c r="A41" s="1599">
        <f>'Nhân công'!A31</f>
        <v>6</v>
      </c>
      <c r="B41" s="1138" t="str">
        <f>'Nhân công'!B31</f>
        <v>Hoàn thiện dữ liệu địa chính</v>
      </c>
      <c r="C41" s="309"/>
      <c r="D41" s="944">
        <v>0</v>
      </c>
      <c r="E41" s="918"/>
      <c r="G41" s="1487"/>
      <c r="I41" s="1748"/>
    </row>
    <row r="42" spans="1:9" ht="15.75">
      <c r="A42" s="1602" t="str">
        <f>'Nhân công'!A32</f>
        <v>6.1</v>
      </c>
      <c r="B42" s="1136" t="str">
        <f>'Nhân công'!B32</f>
        <v>Hoàn thiện 100% thông tin trong CSDL</v>
      </c>
      <c r="C42" s="309" t="str">
        <f>'Nhân công'!C32</f>
        <v>Thửa</v>
      </c>
      <c r="D42" s="944">
        <v>2.9700000000000001E-2</v>
      </c>
      <c r="E42" s="918">
        <f>D42*$H$4</f>
        <v>33.291734819538469</v>
      </c>
      <c r="G42" s="1487"/>
      <c r="I42" s="1748"/>
    </row>
    <row r="43" spans="1:9" ht="15.75">
      <c r="A43" s="1602" t="str">
        <f>'Nhân công'!A33</f>
        <v>6.2</v>
      </c>
      <c r="B43" s="1136" t="str">
        <f>'Nhân công'!B33</f>
        <v>Xuất sổ địa chính (điện tử) theo khuôn dạng tệp tin PDF</v>
      </c>
      <c r="C43" s="309" t="str">
        <f>'Nhân công'!C33</f>
        <v>Thửa</v>
      </c>
      <c r="D43" s="944">
        <v>7.4000000000000003E-3</v>
      </c>
      <c r="E43" s="918">
        <f>D43*$H$4</f>
        <v>8.2949103590769244</v>
      </c>
      <c r="G43" s="1487"/>
      <c r="I43" s="1748"/>
    </row>
    <row r="44" spans="1:9" ht="15.75">
      <c r="A44" s="1599">
        <f>'Nhân công'!A34</f>
        <v>7</v>
      </c>
      <c r="B44" s="1138" t="str">
        <f>'Nhân công'!B34</f>
        <v>Xây dựng siêu dữ liệu địa chính</v>
      </c>
      <c r="C44" s="309"/>
      <c r="D44" s="944">
        <v>0</v>
      </c>
      <c r="E44" s="918"/>
      <c r="G44" s="1487"/>
      <c r="I44" s="1748"/>
    </row>
    <row r="45" spans="1:9" ht="31.5">
      <c r="A45" s="1602" t="str">
        <f>'Nhân công'!A35</f>
        <v>7.1</v>
      </c>
      <c r="B45" s="1136" t="str">
        <f>'Nhân công'!B35</f>
        <v>Thu nhận các thông tin cần thiết để xây dựng siêu dữ liệu (thông tin mô tả dữ liệu) địa chính</v>
      </c>
      <c r="C45" s="309" t="str">
        <f>'Nhân công'!C35</f>
        <v>Thửa</v>
      </c>
      <c r="D45" s="944">
        <v>1.1299999999999999E-2</v>
      </c>
      <c r="E45" s="918">
        <f>D45*$H$4</f>
        <v>12.666552305076923</v>
      </c>
      <c r="G45" s="1487"/>
      <c r="I45" s="1748"/>
    </row>
    <row r="46" spans="1:9" ht="31.5">
      <c r="A46" s="1602" t="str">
        <f>'Nhân công'!A36</f>
        <v>7.2</v>
      </c>
      <c r="B46" s="1136" t="str">
        <f>'Nhân công'!B36</f>
        <v>Nhập thông tin siêu dữ liệu địa chính cho từng đơn vị hành chính cấp xã</v>
      </c>
      <c r="C46" s="309" t="str">
        <f>'Nhân công'!C36</f>
        <v>Thửa</v>
      </c>
      <c r="D46" s="944">
        <v>2.9999999999999997E-4</v>
      </c>
      <c r="E46" s="918">
        <f>D46*$H$4</f>
        <v>0.33628014969230768</v>
      </c>
      <c r="G46" s="1487"/>
      <c r="I46" s="1748"/>
    </row>
    <row r="47" spans="1:9" ht="31.5">
      <c r="A47" s="1599">
        <f>'Nhân công'!A37</f>
        <v>8</v>
      </c>
      <c r="B47" s="1138" t="str">
        <f>'Nhân công'!B37</f>
        <v>Đối soát, tích hợp dữ liệu vào hệ thống (do Văn phòng Đăng ký đất đai thực hiện)</v>
      </c>
      <c r="C47" s="312"/>
      <c r="D47" s="1600">
        <v>0</v>
      </c>
      <c r="E47" s="917"/>
      <c r="G47" s="1487"/>
      <c r="I47" s="1748"/>
    </row>
    <row r="48" spans="1:9" ht="31.5">
      <c r="A48" s="1602" t="str">
        <f>'Nhân công'!A38</f>
        <v>8.1</v>
      </c>
      <c r="B48" s="1136" t="str">
        <f>'Nhân công'!B38</f>
        <v>Đối soát thông tin của thửa đất trong CSDL với nguồn tài liệu, dữ liệu đã sử dụng để xây dựng CSDL</v>
      </c>
      <c r="C48" s="309" t="str">
        <f>'Nhân công'!C38</f>
        <v>Thửa</v>
      </c>
      <c r="D48" s="944">
        <v>2.2200000000000001E-2</v>
      </c>
      <c r="E48" s="918">
        <f>D48*$H$4</f>
        <v>24.884731077230775</v>
      </c>
      <c r="G48" s="1487"/>
      <c r="I48" s="1748"/>
    </row>
    <row r="49" spans="1:9" ht="15.75">
      <c r="A49" s="1602" t="str">
        <f>'Nhân công'!A39</f>
        <v>8.2</v>
      </c>
      <c r="B49" s="1136" t="str">
        <f>'Nhân công'!B39</f>
        <v>Ký số vào sổ địa chính (điện tử)</v>
      </c>
      <c r="C49" s="309" t="str">
        <f>'Nhân công'!C39</f>
        <v>Thửa</v>
      </c>
      <c r="D49" s="944">
        <v>1.4800000000000001E-2</v>
      </c>
      <c r="E49" s="918">
        <f>D49*$H$4</f>
        <v>16.589820718153849</v>
      </c>
      <c r="G49" s="1487"/>
      <c r="I49" s="1748"/>
    </row>
    <row r="50" spans="1:9" ht="31.5">
      <c r="A50" s="1602" t="str">
        <f>'Nhân công'!A40</f>
        <v>8.3</v>
      </c>
      <c r="B50" s="1136" t="str">
        <f>'Nhân công'!B40</f>
        <v>Tích hợp dữ liệu vào hệ thống theo định kỳ hàng tháng phục vụ quản lý, vận hành, khai thác sử dụng</v>
      </c>
      <c r="C50" s="309" t="str">
        <f>'Nhân công'!C40</f>
        <v>Thửa</v>
      </c>
      <c r="D50" s="944">
        <v>2.9700000000000001E-2</v>
      </c>
      <c r="E50" s="918">
        <f>D50*$H$4</f>
        <v>33.291734819538469</v>
      </c>
      <c r="G50" s="1487"/>
      <c r="I50" s="1748"/>
    </row>
    <row r="51" spans="1:9" ht="15.75">
      <c r="A51" s="1599">
        <f>'Nhân công'!A41</f>
        <v>9</v>
      </c>
      <c r="B51" s="1138" t="str">
        <f>'Nhân công'!B41</f>
        <v>Phục vụ kiểm tra, nghiệm thu CSDL địa chính</v>
      </c>
      <c r="C51" s="312"/>
      <c r="D51" s="1600">
        <v>0</v>
      </c>
      <c r="E51" s="917"/>
      <c r="G51" s="1487"/>
      <c r="I51" s="1748"/>
    </row>
    <row r="52" spans="1:9" ht="63">
      <c r="A52" s="1755" t="s">
        <v>971</v>
      </c>
      <c r="B52" s="1136" t="str">
        <f>'Nhân công'!B42</f>
        <v>Chuẩn bị tư liệu, tài liệu và phục vụ giám sát, kiểm tra, nghiệm thu; tổng hợp, xác định khối lượng sản phẩm đã thực hiện theo định kỳ hàng tháng, theo công đoạn công trình và khi kết thúc công trình. Lập biên bản bàn giao dữ liệu địa chính</v>
      </c>
      <c r="C52" s="309" t="str">
        <f>'Nhân công'!C42</f>
        <v>Thửa</v>
      </c>
      <c r="D52" s="944">
        <v>6.7999999999999996E-3</v>
      </c>
      <c r="E52" s="918">
        <f>D52*$H$4</f>
        <v>7.6223500596923079</v>
      </c>
      <c r="G52" s="1487"/>
      <c r="I52" s="1748"/>
    </row>
    <row r="53" spans="1:9">
      <c r="A53" s="986"/>
      <c r="B53" s="963"/>
      <c r="C53" s="986"/>
      <c r="D53" s="1606"/>
      <c r="E53" s="1606"/>
      <c r="F53" s="1606"/>
    </row>
    <row r="54" spans="1:9">
      <c r="A54" s="986"/>
      <c r="B54" s="963"/>
      <c r="C54" s="986"/>
      <c r="D54" s="1606"/>
      <c r="E54" s="1606"/>
      <c r="F54" s="1606"/>
    </row>
    <row r="55" spans="1:9">
      <c r="A55" s="986"/>
      <c r="B55" s="963"/>
      <c r="C55" s="986"/>
      <c r="D55" s="1606"/>
      <c r="E55" s="1606"/>
      <c r="F55" s="1606"/>
    </row>
    <row r="56" spans="1:9">
      <c r="A56" s="986"/>
      <c r="B56" s="963"/>
      <c r="C56" s="986"/>
      <c r="D56" s="1606"/>
      <c r="E56" s="1606"/>
      <c r="F56" s="1606"/>
    </row>
    <row r="57" spans="1:9">
      <c r="A57" s="986"/>
      <c r="B57" s="963"/>
      <c r="C57" s="986"/>
      <c r="D57" s="1606"/>
      <c r="E57" s="1606"/>
      <c r="F57" s="1606"/>
    </row>
    <row r="58" spans="1:9">
      <c r="A58" s="986"/>
      <c r="B58" s="963"/>
      <c r="C58" s="986"/>
      <c r="D58" s="1606"/>
      <c r="E58" s="1606"/>
      <c r="F58" s="1606"/>
    </row>
    <row r="59" spans="1:9">
      <c r="A59" s="986"/>
      <c r="B59" s="963"/>
      <c r="C59" s="986"/>
      <c r="D59" s="1606"/>
      <c r="E59" s="1606"/>
      <c r="F59" s="1606"/>
    </row>
    <row r="60" spans="1:9">
      <c r="D60" s="1756"/>
      <c r="E60" s="1609">
        <f>SUM(E15:E52)</f>
        <v>1921.6617060783697</v>
      </c>
    </row>
  </sheetData>
  <mergeCells count="4">
    <mergeCell ref="A3:A4"/>
    <mergeCell ref="B3:B4"/>
    <mergeCell ref="C3:C4"/>
    <mergeCell ref="A1:H1"/>
  </mergeCells>
  <phoneticPr fontId="4" type="noConversion"/>
  <printOptions horizontalCentered="1"/>
  <pageMargins left="0.36811023599999998" right="0.118110236220472" top="0.78740157480314998" bottom="0.118110236220472" header="0.31496062992126" footer="0.23622047244094499"/>
  <pageSetup orientation="landscape"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1"/>
  <sheetViews>
    <sheetView zoomScale="85" zoomScaleNormal="85" workbookViewId="0">
      <selection activeCell="C61" sqref="C61"/>
    </sheetView>
  </sheetViews>
  <sheetFormatPr defaultColWidth="9" defaultRowHeight="15"/>
  <cols>
    <col min="1" max="1" width="5.375" style="986" customWidth="1"/>
    <col min="2" max="2" width="45.25" style="963" customWidth="1"/>
    <col min="3" max="3" width="6.75" style="986" customWidth="1"/>
    <col min="4" max="4" width="11.375" style="963" customWidth="1"/>
    <col min="5" max="5" width="10.25" style="963" customWidth="1"/>
    <col min="6" max="6" width="9.125" style="963" customWidth="1"/>
    <col min="7" max="7" width="9" style="963" customWidth="1"/>
    <col min="8" max="8" width="10.25" style="12" customWidth="1"/>
    <col min="9" max="9" width="18.25" style="12" customWidth="1"/>
    <col min="10" max="10" width="9" style="12" customWidth="1"/>
    <col min="11" max="11" width="9.875" style="12" bestFit="1" customWidth="1"/>
    <col min="12" max="13" width="9" style="12"/>
    <col min="14" max="14" width="9" style="12" customWidth="1"/>
    <col min="15" max="16384" width="9" style="12"/>
  </cols>
  <sheetData>
    <row r="1" spans="1:7" ht="15.75">
      <c r="A1" s="1872" t="s">
        <v>1124</v>
      </c>
      <c r="B1" s="1872"/>
      <c r="C1" s="1872"/>
      <c r="D1" s="1872"/>
      <c r="E1" s="1872"/>
    </row>
    <row r="2" spans="1:7" ht="15.75">
      <c r="A2" s="929"/>
      <c r="B2" s="488"/>
      <c r="C2" s="929"/>
      <c r="D2" s="488"/>
      <c r="E2" s="965" t="s">
        <v>70</v>
      </c>
      <c r="F2" s="966" t="s">
        <v>69</v>
      </c>
    </row>
    <row r="3" spans="1:7" s="13" customFormat="1" ht="38.25" customHeight="1">
      <c r="A3" s="1873" t="s">
        <v>14</v>
      </c>
      <c r="B3" s="1873" t="s">
        <v>3</v>
      </c>
      <c r="C3" s="1873" t="s">
        <v>20</v>
      </c>
      <c r="D3" s="358" t="s">
        <v>18</v>
      </c>
      <c r="E3" s="1874" t="s">
        <v>1024</v>
      </c>
      <c r="F3" s="1289" t="s">
        <v>19</v>
      </c>
      <c r="G3" s="967"/>
    </row>
    <row r="4" spans="1:7" s="13" customFormat="1" ht="18" customHeight="1">
      <c r="A4" s="1873"/>
      <c r="B4" s="1873"/>
      <c r="C4" s="1873"/>
      <c r="D4" s="1594" t="s">
        <v>101</v>
      </c>
      <c r="E4" s="1875"/>
      <c r="F4" s="1289" t="s">
        <v>163</v>
      </c>
      <c r="G4" s="967"/>
    </row>
    <row r="5" spans="1:7" s="41" customFormat="1" ht="15.75">
      <c r="A5" s="968">
        <v>1</v>
      </c>
      <c r="B5" s="362"/>
      <c r="C5" s="80"/>
      <c r="D5" s="363"/>
      <c r="E5" s="364"/>
      <c r="F5" s="1809">
        <f>SUM(F6:F13)*108%</f>
        <v>1239.7859999999998</v>
      </c>
      <c r="G5" s="963"/>
    </row>
    <row r="6" spans="1:7" ht="15.75">
      <c r="A6" s="316">
        <v>1</v>
      </c>
      <c r="B6" s="366" t="s">
        <v>77</v>
      </c>
      <c r="C6" s="971" t="s">
        <v>171</v>
      </c>
      <c r="D6" s="972">
        <f>Gia_VLieu!$D$4</f>
        <v>45000</v>
      </c>
      <c r="E6" s="973">
        <v>2.5000000000000001E-3</v>
      </c>
      <c r="F6" s="1806">
        <f>D6*E6</f>
        <v>112.5</v>
      </c>
    </row>
    <row r="7" spans="1:7" s="1805" customFormat="1" ht="15.75">
      <c r="A7" s="1199">
        <v>2</v>
      </c>
      <c r="B7" s="1792" t="s">
        <v>78</v>
      </c>
      <c r="C7" s="1793" t="s">
        <v>172</v>
      </c>
      <c r="D7" s="1794">
        <f>Gia_VLieu!$D$5</f>
        <v>1450000</v>
      </c>
      <c r="E7" s="1804">
        <v>5.9999999999999995E-4</v>
      </c>
      <c r="F7" s="1807">
        <f t="shared" ref="F7:F13" si="0">D7*E7</f>
        <v>869.99999999999989</v>
      </c>
      <c r="G7" s="1796"/>
    </row>
    <row r="8" spans="1:7" ht="15.75">
      <c r="A8" s="316">
        <v>3</v>
      </c>
      <c r="B8" s="366" t="s">
        <v>80</v>
      </c>
      <c r="C8" s="971" t="s">
        <v>173</v>
      </c>
      <c r="D8" s="972">
        <f>Gia_VLieu!$D$7</f>
        <v>10000</v>
      </c>
      <c r="E8" s="973">
        <v>1.9E-3</v>
      </c>
      <c r="F8" s="1806">
        <f t="shared" si="0"/>
        <v>19</v>
      </c>
    </row>
    <row r="9" spans="1:7" ht="15.75">
      <c r="A9" s="316">
        <v>4</v>
      </c>
      <c r="B9" s="366" t="s">
        <v>21</v>
      </c>
      <c r="C9" s="971" t="s">
        <v>130</v>
      </c>
      <c r="D9" s="972">
        <f>Gia_VLieu!$D$8</f>
        <v>2000</v>
      </c>
      <c r="E9" s="973">
        <v>6.3E-3</v>
      </c>
      <c r="F9" s="1806">
        <f>D9*E9</f>
        <v>12.6</v>
      </c>
    </row>
    <row r="10" spans="1:7" ht="15.75">
      <c r="A10" s="316">
        <v>5</v>
      </c>
      <c r="B10" s="366" t="s">
        <v>83</v>
      </c>
      <c r="C10" s="971" t="s">
        <v>130</v>
      </c>
      <c r="D10" s="972">
        <f>Gia_VLieu!$D$10</f>
        <v>10000</v>
      </c>
      <c r="E10" s="973">
        <v>6.3E-3</v>
      </c>
      <c r="F10" s="1806">
        <f t="shared" si="0"/>
        <v>63</v>
      </c>
    </row>
    <row r="11" spans="1:7" ht="15.75">
      <c r="A11" s="316">
        <v>6</v>
      </c>
      <c r="B11" s="366" t="s">
        <v>84</v>
      </c>
      <c r="C11" s="971" t="s">
        <v>172</v>
      </c>
      <c r="D11" s="972">
        <f>Gia_VLieu!$D$11</f>
        <v>2500</v>
      </c>
      <c r="E11" s="973">
        <v>2.5000000000000001E-3</v>
      </c>
      <c r="F11" s="1806">
        <f t="shared" si="0"/>
        <v>6.25</v>
      </c>
    </row>
    <row r="12" spans="1:7" ht="15.75">
      <c r="A12" s="316">
        <v>7</v>
      </c>
      <c r="B12" s="366" t="s">
        <v>85</v>
      </c>
      <c r="C12" s="971" t="s">
        <v>172</v>
      </c>
      <c r="D12" s="972">
        <f>Gia_VLieu!$D$12</f>
        <v>2000</v>
      </c>
      <c r="E12" s="973">
        <v>3.8E-3</v>
      </c>
      <c r="F12" s="1806">
        <f t="shared" si="0"/>
        <v>7.6</v>
      </c>
    </row>
    <row r="13" spans="1:7" ht="15.75">
      <c r="A13" s="316">
        <v>8</v>
      </c>
      <c r="B13" s="366" t="s">
        <v>87</v>
      </c>
      <c r="C13" s="971" t="s">
        <v>130</v>
      </c>
      <c r="D13" s="972">
        <f>Gia_VLieu!$D$14</f>
        <v>15000</v>
      </c>
      <c r="E13" s="973">
        <v>3.8E-3</v>
      </c>
      <c r="F13" s="1806">
        <f t="shared" si="0"/>
        <v>57</v>
      </c>
    </row>
    <row r="14" spans="1:7" ht="15.75">
      <c r="A14" s="316">
        <v>9</v>
      </c>
      <c r="B14" s="366" t="s">
        <v>50</v>
      </c>
      <c r="C14" s="971" t="s">
        <v>130</v>
      </c>
      <c r="D14" s="972">
        <f>+Gia_VLieu!D15</f>
        <v>20000</v>
      </c>
      <c r="E14" s="973">
        <v>0.01</v>
      </c>
      <c r="F14" s="1806">
        <f>D14*E14</f>
        <v>200</v>
      </c>
    </row>
    <row r="16" spans="1:7" ht="26.25" customHeight="1">
      <c r="A16" s="1594" t="s">
        <v>14</v>
      </c>
      <c r="B16" s="1594" t="s">
        <v>109</v>
      </c>
      <c r="C16" s="1594" t="s">
        <v>20</v>
      </c>
      <c r="D16" s="359" t="s">
        <v>28</v>
      </c>
      <c r="E16" s="359" t="s">
        <v>19</v>
      </c>
    </row>
    <row r="17" spans="1:11" ht="15.75">
      <c r="A17" s="312">
        <f>'Nhân công'!A4</f>
        <v>1</v>
      </c>
      <c r="B17" s="1138" t="str">
        <f>'Nhân công'!B4</f>
        <v>Công tác chuẩn bị</v>
      </c>
      <c r="C17" s="316"/>
      <c r="D17" s="910"/>
      <c r="E17" s="918"/>
      <c r="H17" s="439"/>
      <c r="I17" s="411"/>
    </row>
    <row r="18" spans="1:11" ht="78.75">
      <c r="A18" s="309" t="str">
        <f>'Nhân công'!A5</f>
        <v>1.1</v>
      </c>
      <c r="B18" s="1136" t="str">
        <f>'Nhân công'!B5</f>
        <v>Lập kế hoạch thi công chi tiết: xác định thời gian, địa điểm, khối lượng và nhân lực thực hiện của từng bước công việc; lập kế hoạch làm việc với các đơn vị có liên quan đến công tác xây dựng CSDL địa chính trên địa bàn thi công</v>
      </c>
      <c r="C18" s="316" t="str">
        <f>'Nhân công'!C5</f>
        <v>Thửa</v>
      </c>
      <c r="D18" s="944">
        <v>3.0000000000000001E-3</v>
      </c>
      <c r="E18" s="1762">
        <f>D18*$F$5</f>
        <v>3.7193579999999997</v>
      </c>
      <c r="F18" s="1763"/>
      <c r="G18" s="1764"/>
      <c r="H18" s="439"/>
      <c r="I18" s="411"/>
      <c r="K18" s="1487"/>
    </row>
    <row r="19" spans="1:11" ht="47.25">
      <c r="A19" s="309" t="str">
        <f>'Nhân công'!A6</f>
        <v>1.2</v>
      </c>
      <c r="B19" s="1136" t="str">
        <f>'Nhân công'!B6</f>
        <v>Chuẩn bị nhân lực, địa điểm làm việc; chuẩn bị vật tư, thiết bị, dụng cụ, phần mềm phục vụ cho công tác xây dựng CSDL địa chính.</v>
      </c>
      <c r="C19" s="316" t="str">
        <f>'Nhân công'!C6</f>
        <v>Thửa</v>
      </c>
      <c r="D19" s="944">
        <v>3.0000000000000001E-3</v>
      </c>
      <c r="E19" s="1762">
        <f>D19*$F$5</f>
        <v>3.7193579999999997</v>
      </c>
      <c r="F19" s="1763"/>
      <c r="G19" s="1764"/>
      <c r="H19" s="439"/>
      <c r="I19" s="411"/>
      <c r="K19" s="1487"/>
    </row>
    <row r="20" spans="1:11" ht="15.75">
      <c r="A20" s="312">
        <f>'Nhân công'!A7</f>
        <v>2</v>
      </c>
      <c r="B20" s="1138" t="str">
        <f>'Nhân công'!B7</f>
        <v>Thu thập tài liệu, dữ liệu</v>
      </c>
      <c r="C20" s="316" t="str">
        <f>'Nhân công'!C7</f>
        <v>Thửa</v>
      </c>
      <c r="D20" s="944">
        <v>1.1299999999999999E-2</v>
      </c>
      <c r="E20" s="1762">
        <f>D20*$F$5</f>
        <v>14.009581799999998</v>
      </c>
      <c r="F20" s="1763"/>
      <c r="G20" s="1764"/>
      <c r="H20" s="439"/>
      <c r="I20" s="411"/>
      <c r="K20" s="1487"/>
    </row>
    <row r="21" spans="1:11" ht="31.5">
      <c r="A21" s="312">
        <f>'Nhân công'!A8</f>
        <v>3</v>
      </c>
      <c r="B21" s="1138" t="str">
        <f>'Nhân công'!B8</f>
        <v xml:space="preserve">Rà soát, đánh giá, phân loại và sắp xếp tài liệu, dữ liệu </v>
      </c>
      <c r="C21" s="1594"/>
      <c r="D21" s="944">
        <v>0</v>
      </c>
      <c r="E21" s="1765"/>
      <c r="F21" s="1763"/>
      <c r="G21" s="1764"/>
      <c r="I21" s="411"/>
      <c r="K21" s="1487"/>
    </row>
    <row r="22" spans="1:11" ht="31.5">
      <c r="A22" s="309" t="str">
        <f>'Nhân công'!A9</f>
        <v>3.1</v>
      </c>
      <c r="B22" s="1136" t="str">
        <f>'Nhân công'!B9</f>
        <v>Rà soát, đánh giá tài liệu, dữ liệu; lập báo cáo kết quả thực hiện</v>
      </c>
      <c r="C22" s="316" t="str">
        <f>'Nhân công'!C9</f>
        <v>Thửa</v>
      </c>
      <c r="D22" s="944">
        <v>1.6E-2</v>
      </c>
      <c r="E22" s="1762">
        <f>D22*$F$5</f>
        <v>19.836575999999997</v>
      </c>
      <c r="F22" s="1763"/>
      <c r="G22" s="1764"/>
      <c r="I22" s="411"/>
      <c r="K22" s="1487"/>
    </row>
    <row r="23" spans="1:11" ht="15.75">
      <c r="A23" s="309" t="str">
        <f>'Nhân công'!A10</f>
        <v>3.2</v>
      </c>
      <c r="B23" s="1136" t="str">
        <f>'Nhân công'!B10</f>
        <v>Phân loại thửa đất; lập biểu tổng hợp</v>
      </c>
      <c r="C23" s="316" t="str">
        <f>'Nhân công'!C10</f>
        <v>Thửa</v>
      </c>
      <c r="D23" s="944">
        <v>1.8700000000000001E-2</v>
      </c>
      <c r="E23" s="1762">
        <f>D23*$F$5</f>
        <v>23.183998199999998</v>
      </c>
      <c r="F23" s="1763"/>
      <c r="G23" s="1764"/>
      <c r="I23" s="411"/>
      <c r="K23" s="1487"/>
    </row>
    <row r="24" spans="1:11" ht="151.5" customHeight="1">
      <c r="A24" s="309" t="str">
        <f>'Nhân công'!A11</f>
        <v>3.3</v>
      </c>
      <c r="B24" s="1136" t="str">
        <f>'Nhân công'!B11</f>
        <v>Làm sạch, sắp xếp và đánh số thứ tự theo quy định về hồ sơ địa chính đối với Hồ sơ đăng ký đất đai, tài sản gắn liền với đất (Chỉ thực hiện đối với các thửa đã được cấp GCN; trường hợp tổ chức xây dựng CSDL đất đai kết hợp với tổ chức sắp xếp lại kho lưu trữ tài liệu đất đai thì định mức sắp xếp kho lưu trữ được tính theo định mức kinh tế - kỹ thuật về lưu trữ tài liệu đất đai và định mức xây dựng CSDL đất đai không tính nội dung công việc này)</v>
      </c>
      <c r="C24" s="316" t="str">
        <f>'Nhân công'!C11</f>
        <v>Thửa</v>
      </c>
      <c r="D24" s="944">
        <v>2.0199999999999999E-2</v>
      </c>
      <c r="E24" s="1762">
        <f>D24*$F$5+D24*F14</f>
        <v>29.083677199999993</v>
      </c>
      <c r="F24" s="1763"/>
      <c r="G24" s="1764"/>
      <c r="I24" s="411"/>
      <c r="K24" s="1487"/>
    </row>
    <row r="25" spans="1:11" ht="15.75">
      <c r="A25" s="312">
        <f>'Nhân công'!A12</f>
        <v>4</v>
      </c>
      <c r="B25" s="1138" t="str">
        <f>'Nhân công'!B12</f>
        <v>Xây dựng dữ liệu không gian địa chính</v>
      </c>
      <c r="C25" s="1594"/>
      <c r="D25" s="1600">
        <v>0</v>
      </c>
      <c r="E25" s="1765"/>
      <c r="F25" s="1763"/>
      <c r="G25" s="1764"/>
      <c r="H25" s="438"/>
      <c r="K25" s="1487"/>
    </row>
    <row r="26" spans="1:11" ht="15.75">
      <c r="A26" s="309" t="str">
        <f>'Nhân công'!A13</f>
        <v>4.1</v>
      </c>
      <c r="B26" s="1136" t="str">
        <f>'Nhân công'!B13</f>
        <v>Chuẩn hóa các lớp đối tượng không gian địa chính</v>
      </c>
      <c r="C26" s="316"/>
      <c r="D26" s="944">
        <v>0</v>
      </c>
      <c r="E26" s="1762"/>
      <c r="F26" s="1763"/>
      <c r="G26" s="1764"/>
      <c r="K26" s="1487"/>
    </row>
    <row r="27" spans="1:11" ht="47.25">
      <c r="A27" s="309" t="str">
        <f>'Nhân công'!A14</f>
        <v>4.1.1</v>
      </c>
      <c r="B27" s="1136" t="str">
        <f>'Nhân công'!B14</f>
        <v>Lập bảng đối chiếu giữa lớp đối tượng không gian địa chính với nội dung tương ứng trong bản đồ địa chính để tách, lọc các đối tượng từ nội dung bản đồ địa chính</v>
      </c>
      <c r="C27" s="316" t="str">
        <f>'Nhân công'!C14</f>
        <v>Thửa</v>
      </c>
      <c r="D27" s="944">
        <v>3.8999999999999998E-3</v>
      </c>
      <c r="E27" s="1762">
        <f>D27*$F$5</f>
        <v>4.8351653999999993</v>
      </c>
      <c r="F27" s="1763"/>
      <c r="G27" s="1764"/>
      <c r="K27" s="1487"/>
    </row>
    <row r="28" spans="1:11" ht="31.5">
      <c r="A28" s="309" t="str">
        <f>'Nhân công'!A15</f>
        <v>4.1.2</v>
      </c>
      <c r="B28" s="1136" t="str">
        <f>'Nhân công'!B15</f>
        <v>Chuẩn hóa các lớp đối tượng không gian địa chính chưa phù hợp với quy định kỹ thuật về CSDL đất đai</v>
      </c>
      <c r="C28" s="316" t="str">
        <f>'Nhân công'!C15</f>
        <v>Thửa</v>
      </c>
      <c r="D28" s="944">
        <v>2.0199999999999999E-2</v>
      </c>
      <c r="E28" s="1762">
        <f>D28*$F$5</f>
        <v>25.043677199999994</v>
      </c>
      <c r="F28" s="1763"/>
      <c r="G28" s="1764"/>
      <c r="K28" s="1487"/>
    </row>
    <row r="29" spans="1:11" ht="47.25">
      <c r="A29" s="309" t="str">
        <f>'Nhân công'!A16</f>
        <v>4.1.3</v>
      </c>
      <c r="B29" s="1136" t="str">
        <f>'Nhân công'!B16</f>
        <v>Rà soát chuẩn hóa thông tin thuộc tính cho từng đối tượng không gian địa chính theo quy định kỹ thuật về CSDL đất đai</v>
      </c>
      <c r="C29" s="316" t="str">
        <f>'Nhân công'!C16</f>
        <v>Thửa</v>
      </c>
      <c r="D29" s="944">
        <v>3.7100000000000001E-2</v>
      </c>
      <c r="E29" s="1762">
        <f>D29*$F$5</f>
        <v>45.996060599999993</v>
      </c>
      <c r="F29" s="1763"/>
      <c r="G29" s="1764"/>
      <c r="K29" s="1487"/>
    </row>
    <row r="30" spans="1:11" ht="47.25">
      <c r="A30" s="309" t="str">
        <f>'Nhân công'!A17</f>
        <v>4.2</v>
      </c>
      <c r="B30" s="1136" t="str">
        <f>'Nhân công'!B17</f>
        <v>Chuyển đổi các lớp đối tượng không gian địa chính từ tệp (File) bản đồ số vào CSDL theo phạm vi đơn vị hành chính cấp xã</v>
      </c>
      <c r="C30" s="316" t="str">
        <f>'Nhân công'!C17</f>
        <v>Thửa</v>
      </c>
      <c r="D30" s="944">
        <v>4.4000000000000003E-3</v>
      </c>
      <c r="E30" s="1762">
        <f>D30*$F$5</f>
        <v>5.4550583999999995</v>
      </c>
      <c r="F30" s="1763"/>
      <c r="G30" s="1764"/>
      <c r="K30" s="1487"/>
    </row>
    <row r="31" spans="1:11" ht="15.75">
      <c r="A31" s="309" t="str">
        <f>'Nhân công'!A18</f>
        <v>4.3</v>
      </c>
      <c r="B31" s="1136" t="str">
        <f>'Nhân công'!B18</f>
        <v>Đối với khu vực chưa có bản đồ đia chính</v>
      </c>
      <c r="C31" s="316"/>
      <c r="D31" s="944">
        <v>0</v>
      </c>
      <c r="E31" s="1762"/>
      <c r="F31" s="1763"/>
      <c r="G31" s="1764"/>
      <c r="K31" s="1487"/>
    </row>
    <row r="32" spans="1:11" ht="31.5">
      <c r="A32" s="309" t="str">
        <f>'Nhân công'!A19</f>
        <v>4.3.1</v>
      </c>
      <c r="B32" s="1136" t="str">
        <f>'Nhân công'!B19</f>
        <v>Chuyển đổi bản trích đo địa chính theo hệ tọa độ quốc gia VN-2000 vào dữ liệu không gian địa chính</v>
      </c>
      <c r="C32" s="316" t="str">
        <f>'Nhân công'!C19</f>
        <v>Thửa</v>
      </c>
      <c r="D32" s="944">
        <v>7.4200000000000002E-2</v>
      </c>
      <c r="E32" s="1762">
        <f>D32*$F$5</f>
        <v>91.992121199999985</v>
      </c>
      <c r="F32" s="1763"/>
      <c r="G32" s="1764"/>
      <c r="K32" s="1487"/>
    </row>
    <row r="33" spans="1:11" ht="63">
      <c r="A33" s="309" t="str">
        <f>'Nhân công'!A20</f>
        <v>4.3.2</v>
      </c>
      <c r="B33" s="1136" t="str">
        <f>'Nhân công'!B20</f>
        <v>Chuyển đổi vào dữ liệu không gian địa chính và định vị trên dữ liệu không gian đất đai nền sơ đồ, bản trích đo địa chính chưa theo hệ tọa độ quốc gia VN-2000 hoặc bản đồ giải thửa dạng số</v>
      </c>
      <c r="C33" s="316" t="str">
        <f>'Nhân công'!C20</f>
        <v>Thửa</v>
      </c>
      <c r="D33" s="944">
        <v>0.14829999999999999</v>
      </c>
      <c r="E33" s="1762">
        <f>D33*$F$5</f>
        <v>183.86026379999996</v>
      </c>
      <c r="F33" s="1763"/>
      <c r="G33" s="1764"/>
      <c r="K33" s="1487"/>
    </row>
    <row r="34" spans="1:11" ht="47.25">
      <c r="A34" s="309" t="str">
        <f>'Nhân công'!A21</f>
        <v>4.3.3</v>
      </c>
      <c r="B34" s="1136" t="str">
        <f>'Nhân công'!B21</f>
        <v xml:space="preserve"> Quét và định vị sơ bộ trên dữ liệu không gian đất đai nền sơ đồ, bản trích đo địa chính theo hệ tọa độ giả định hoặc bản đồ giải thửa dạng giấy</v>
      </c>
      <c r="C34" s="316" t="str">
        <f>'Nhân công'!C21</f>
        <v>Thửa</v>
      </c>
      <c r="D34" s="944">
        <v>7.4200000000000002E-2</v>
      </c>
      <c r="E34" s="1762">
        <f>D34*$F$5</f>
        <v>91.992121199999985</v>
      </c>
      <c r="F34" s="1763"/>
      <c r="G34" s="1764"/>
      <c r="K34" s="1487"/>
    </row>
    <row r="35" spans="1:11" ht="31.5">
      <c r="A35" s="309" t="str">
        <f>'Nhân công'!A22</f>
        <v>4.4</v>
      </c>
      <c r="B35" s="1136" t="str">
        <f>'Nhân công'!B22</f>
        <v>Định vị khu vực dồn điền đổi thửa trên dữ liệu không gian đất đai nền trên cơ sở các hồ sơ, tài liệu hiện có</v>
      </c>
      <c r="C35" s="316" t="str">
        <f>'Nhân công'!C22</f>
        <v>Thửa</v>
      </c>
      <c r="D35" s="944">
        <v>7.4200000000000002E-2</v>
      </c>
      <c r="E35" s="1762">
        <f>D35*$F$5</f>
        <v>91.992121199999985</v>
      </c>
      <c r="F35" s="1763"/>
      <c r="G35" s="1764"/>
      <c r="K35" s="1487"/>
    </row>
    <row r="36" spans="1:11" ht="15.75">
      <c r="A36" s="312">
        <f>'Nhân công'!A23</f>
        <v>5</v>
      </c>
      <c r="B36" s="1138" t="str">
        <f>'Nhân công'!B23</f>
        <v>Xây dựng dữ liệu thuộc tính địa chính</v>
      </c>
      <c r="C36" s="1594"/>
      <c r="D36" s="944">
        <v>0</v>
      </c>
      <c r="E36" s="1765"/>
      <c r="F36" s="1763"/>
      <c r="G36" s="1764"/>
      <c r="K36" s="1487"/>
    </row>
    <row r="37" spans="1:11" ht="31.5">
      <c r="A37" s="309" t="str">
        <f>'Nhân công'!A24</f>
        <v>5.1</v>
      </c>
      <c r="B37" s="1136" t="str">
        <f>'Nhân công'!B24</f>
        <v>Kiểm tra tính đầy đủ thông tin của thửa đất, lựa chọn tài liệu theo thứ tự ưu tiên</v>
      </c>
      <c r="C37" s="316" t="str">
        <f>'Nhân công'!C24</f>
        <v>Thửa</v>
      </c>
      <c r="D37" s="944">
        <v>2.9700000000000001E-2</v>
      </c>
      <c r="E37" s="1762">
        <f>D37*$F$5</f>
        <v>36.821644199999994</v>
      </c>
      <c r="F37" s="1763"/>
      <c r="G37" s="1764"/>
      <c r="K37" s="1487"/>
    </row>
    <row r="38" spans="1:11" ht="47.25">
      <c r="A38" s="309" t="str">
        <f>'Nhân công'!A25</f>
        <v>5.2</v>
      </c>
      <c r="B38" s="1136" t="str">
        <f>'Nhân công'!B25</f>
        <v>Lập bảng tham chiếu số thửa cũ và số thửa mới đối với các thửa đất đã được cấp Giấy chứng nhận theo bản đồ cũ nhưng chưa cấp đổi Giấy chứng nhận</v>
      </c>
      <c r="C38" s="316" t="str">
        <f>'Nhân công'!C25</f>
        <v>Thửa</v>
      </c>
      <c r="D38" s="944">
        <v>1.47E-2</v>
      </c>
      <c r="E38" s="1762">
        <f>D38*$F$5</f>
        <v>18.224854199999996</v>
      </c>
      <c r="F38" s="1763"/>
      <c r="G38" s="1764"/>
      <c r="K38" s="1487"/>
    </row>
    <row r="39" spans="1:11" ht="15.75">
      <c r="A39" s="309" t="str">
        <f>'Nhân công'!A26</f>
        <v>5.3</v>
      </c>
      <c r="B39" s="1136" t="str">
        <f>'Nhân công'!B26</f>
        <v>Nhập thông tin từ tài liệu đã lựa chọn</v>
      </c>
      <c r="C39" s="316"/>
      <c r="D39" s="944">
        <v>0</v>
      </c>
      <c r="E39" s="1762"/>
      <c r="F39" s="1763"/>
      <c r="G39" s="1764"/>
      <c r="K39" s="1487"/>
    </row>
    <row r="40" spans="1:11" ht="15.75">
      <c r="A40" s="309" t="str">
        <f>'Nhân công'!A27</f>
        <v>5.3.1</v>
      </c>
      <c r="B40" s="1136" t="str">
        <f>'Nhân công'!B27</f>
        <v>Thửa đất loại I (Thửa A)</v>
      </c>
      <c r="C40" s="316" t="str">
        <f>'Nhân công'!C27</f>
        <v>Thửa</v>
      </c>
      <c r="D40" s="944">
        <v>0.32469999999999999</v>
      </c>
      <c r="E40" s="1762">
        <f>D40*$F$5</f>
        <v>402.55851419999993</v>
      </c>
      <c r="F40" s="1763"/>
      <c r="G40" s="1764"/>
      <c r="K40" s="1487"/>
    </row>
    <row r="41" spans="1:11" ht="15.75">
      <c r="A41" s="309" t="str">
        <f>'Nhân công'!A28</f>
        <v>5.3.2</v>
      </c>
      <c r="B41" s="1136" t="str">
        <f>'Nhân công'!B28</f>
        <v>Thửa đất loại II (Thửa B và D)</v>
      </c>
      <c r="C41" s="316" t="str">
        <f>'Nhân công'!C28</f>
        <v>Thửa</v>
      </c>
      <c r="D41" s="944">
        <f>+D40*1.2</f>
        <v>0.38963999999999999</v>
      </c>
      <c r="E41" s="1762">
        <f>D41*$F$5</f>
        <v>483.07021703999993</v>
      </c>
      <c r="F41" s="1763"/>
      <c r="G41" s="1764"/>
      <c r="K41" s="1487"/>
    </row>
    <row r="42" spans="1:11" ht="15.75">
      <c r="A42" s="309" t="str">
        <f>'Nhân công'!A29</f>
        <v>5.3.3</v>
      </c>
      <c r="B42" s="1136" t="str">
        <f>'Nhân công'!B29</f>
        <v>Thửa đất loại III (Thửa C)</v>
      </c>
      <c r="C42" s="316" t="str">
        <f>'Nhân công'!C29</f>
        <v>Thửa</v>
      </c>
      <c r="D42" s="944">
        <f>+D40*0.5</f>
        <v>0.16234999999999999</v>
      </c>
      <c r="E42" s="1762">
        <f>D42*$F$5</f>
        <v>201.27925709999997</v>
      </c>
      <c r="F42" s="1763"/>
      <c r="G42" s="1764"/>
      <c r="K42" s="1487"/>
    </row>
    <row r="43" spans="1:11" ht="15.75">
      <c r="A43" s="309" t="str">
        <f>'Nhân công'!A30</f>
        <v>5.3.4</v>
      </c>
      <c r="B43" s="1136" t="str">
        <f>'Nhân công'!B30</f>
        <v>Thửa đất loại IV (Thửa E)</v>
      </c>
      <c r="C43" s="316" t="str">
        <f>'Nhân công'!C30</f>
        <v>Thửa</v>
      </c>
      <c r="D43" s="944">
        <f>+D40*0.5</f>
        <v>0.16234999999999999</v>
      </c>
      <c r="E43" s="1762">
        <f>D43*$F$5</f>
        <v>201.27925709999997</v>
      </c>
      <c r="F43" s="1763"/>
      <c r="G43" s="1764"/>
      <c r="K43" s="1487"/>
    </row>
    <row r="44" spans="1:11" ht="15.75">
      <c r="A44" s="312">
        <f>'Nhân công'!A31</f>
        <v>6</v>
      </c>
      <c r="B44" s="1138" t="str">
        <f>'Nhân công'!B31</f>
        <v>Hoàn thiện dữ liệu địa chính</v>
      </c>
      <c r="C44" s="1594"/>
      <c r="D44" s="944">
        <v>0</v>
      </c>
      <c r="E44" s="1765"/>
      <c r="F44" s="1763"/>
      <c r="G44" s="1764"/>
      <c r="K44" s="1487"/>
    </row>
    <row r="45" spans="1:11" ht="15.75">
      <c r="A45" s="309" t="str">
        <f>'Nhân công'!A32</f>
        <v>6.1</v>
      </c>
      <c r="B45" s="1136" t="str">
        <f>'Nhân công'!B32</f>
        <v>Hoàn thiện 100% thông tin trong CSDL</v>
      </c>
      <c r="C45" s="316" t="str">
        <f>'Nhân công'!C32</f>
        <v>Thửa</v>
      </c>
      <c r="D45" s="944">
        <v>2.9700000000000001E-2</v>
      </c>
      <c r="E45" s="1762">
        <f>D45*$F$5</f>
        <v>36.821644199999994</v>
      </c>
      <c r="F45" s="1763"/>
      <c r="G45" s="1764"/>
      <c r="K45" s="1487"/>
    </row>
    <row r="46" spans="1:11" ht="15.75">
      <c r="A46" s="309" t="str">
        <f>'Nhân công'!A33</f>
        <v>6.2</v>
      </c>
      <c r="B46" s="1136" t="str">
        <f>'Nhân công'!B33</f>
        <v>Xuất sổ địa chính (điện tử) theo khuôn dạng tệp tin PDF</v>
      </c>
      <c r="C46" s="316" t="str">
        <f>'Nhân công'!C33</f>
        <v>Thửa</v>
      </c>
      <c r="D46" s="944">
        <v>7.4000000000000003E-3</v>
      </c>
      <c r="E46" s="1762">
        <f>D46*$F$5</f>
        <v>9.1744163999999984</v>
      </c>
      <c r="F46" s="1763"/>
      <c r="G46" s="1764"/>
      <c r="K46" s="1487"/>
    </row>
    <row r="47" spans="1:11" ht="15.75">
      <c r="A47" s="312">
        <f>'Nhân công'!A34</f>
        <v>7</v>
      </c>
      <c r="B47" s="1138" t="str">
        <f>'Nhân công'!B34</f>
        <v>Xây dựng siêu dữ liệu địa chính</v>
      </c>
      <c r="C47" s="1594"/>
      <c r="D47" s="944">
        <v>0</v>
      </c>
      <c r="E47" s="1765"/>
      <c r="F47" s="1763"/>
      <c r="G47" s="1764"/>
      <c r="K47" s="1487"/>
    </row>
    <row r="48" spans="1:11" ht="31.5">
      <c r="A48" s="309" t="str">
        <f>'Nhân công'!A35</f>
        <v>7.1</v>
      </c>
      <c r="B48" s="1136" t="str">
        <f>'Nhân công'!B35</f>
        <v>Thu nhận các thông tin cần thiết để xây dựng siêu dữ liệu (thông tin mô tả dữ liệu) địa chính</v>
      </c>
      <c r="C48" s="316" t="str">
        <f>'Nhân công'!C35</f>
        <v>Thửa</v>
      </c>
      <c r="D48" s="944">
        <v>1.1299999999999999E-2</v>
      </c>
      <c r="E48" s="1762">
        <f>D48*$F$5</f>
        <v>14.009581799999998</v>
      </c>
      <c r="F48" s="1763"/>
      <c r="G48" s="1764"/>
      <c r="K48" s="1487"/>
    </row>
    <row r="49" spans="1:11" ht="31.5">
      <c r="A49" s="309" t="str">
        <f>'Nhân công'!A36</f>
        <v>7.2</v>
      </c>
      <c r="B49" s="1136" t="str">
        <f>'Nhân công'!B36</f>
        <v>Nhập thông tin siêu dữ liệu địa chính cho từng đơn vị hành chính cấp xã</v>
      </c>
      <c r="C49" s="316" t="str">
        <f>'Nhân công'!C36</f>
        <v>Thửa</v>
      </c>
      <c r="D49" s="944">
        <v>2.9999999999999997E-4</v>
      </c>
      <c r="E49" s="1762">
        <f>D49*$F$5</f>
        <v>0.37193579999999993</v>
      </c>
      <c r="F49" s="1763"/>
      <c r="G49" s="1764"/>
      <c r="K49" s="1487"/>
    </row>
    <row r="50" spans="1:11" ht="31.5">
      <c r="A50" s="312">
        <f>'Nhân công'!A37</f>
        <v>8</v>
      </c>
      <c r="B50" s="1138" t="str">
        <f>'Nhân công'!B37</f>
        <v>Đối soát, tích hợp dữ liệu vào hệ thống (do Văn phòng Đăng ký đất đai thực hiện)</v>
      </c>
      <c r="C50" s="1594"/>
      <c r="D50" s="1600">
        <v>0</v>
      </c>
      <c r="E50" s="1765"/>
      <c r="F50" s="1763"/>
      <c r="G50" s="1764"/>
      <c r="K50" s="1487"/>
    </row>
    <row r="51" spans="1:11" ht="31.5">
      <c r="A51" s="309" t="str">
        <f>'Nhân công'!A38</f>
        <v>8.1</v>
      </c>
      <c r="B51" s="1136" t="str">
        <f>'Nhân công'!B38</f>
        <v>Đối soát thông tin của thửa đất trong CSDL với nguồn tài liệu, dữ liệu đã sử dụng để xây dựng CSDL</v>
      </c>
      <c r="C51" s="316" t="str">
        <f>'Nhân công'!C38</f>
        <v>Thửa</v>
      </c>
      <c r="D51" s="944">
        <v>2.2200000000000001E-2</v>
      </c>
      <c r="E51" s="1762">
        <f>D51*$F$5</f>
        <v>27.523249199999999</v>
      </c>
      <c r="F51" s="1763"/>
      <c r="G51" s="1764"/>
      <c r="K51" s="1487"/>
    </row>
    <row r="52" spans="1:11" ht="15.75">
      <c r="A52" s="309" t="str">
        <f>'Nhân công'!A39</f>
        <v>8.2</v>
      </c>
      <c r="B52" s="1136" t="str">
        <f>'Nhân công'!B39</f>
        <v>Ký số vào sổ địa chính (điện tử)</v>
      </c>
      <c r="C52" s="316" t="str">
        <f>'Nhân công'!C39</f>
        <v>Thửa</v>
      </c>
      <c r="D52" s="944">
        <v>1.4800000000000001E-2</v>
      </c>
      <c r="E52" s="1762">
        <f>D52*$F$5</f>
        <v>18.348832799999997</v>
      </c>
      <c r="F52" s="1763"/>
      <c r="G52" s="1764"/>
      <c r="K52" s="1487"/>
    </row>
    <row r="53" spans="1:11" ht="31.5">
      <c r="A53" s="309" t="str">
        <f>'Nhân công'!A40</f>
        <v>8.3</v>
      </c>
      <c r="B53" s="1136" t="str">
        <f>'Nhân công'!B40</f>
        <v>Tích hợp dữ liệu vào hệ thống theo định kỳ hàng tháng phục vụ quản lý, vận hành, khai thác sử dụng</v>
      </c>
      <c r="C53" s="316" t="str">
        <f>'Nhân công'!C40</f>
        <v>Thửa</v>
      </c>
      <c r="D53" s="944">
        <v>2.9700000000000001E-2</v>
      </c>
      <c r="E53" s="1762">
        <f>D53*$F$5</f>
        <v>36.821644199999994</v>
      </c>
      <c r="F53" s="1763"/>
      <c r="G53" s="1764"/>
      <c r="K53" s="1487"/>
    </row>
    <row r="54" spans="1:11" ht="15.75">
      <c r="A54" s="312">
        <f>'Nhân công'!A41</f>
        <v>9</v>
      </c>
      <c r="B54" s="1138" t="str">
        <f>'Nhân công'!B41</f>
        <v>Phục vụ kiểm tra, nghiệm thu CSDL địa chính</v>
      </c>
      <c r="C54" s="1594"/>
      <c r="D54" s="1600">
        <v>0</v>
      </c>
      <c r="E54" s="1765"/>
      <c r="F54" s="1763"/>
      <c r="G54" s="1764"/>
      <c r="K54" s="1487"/>
    </row>
    <row r="55" spans="1:11" ht="78.75">
      <c r="A55" s="1766" t="s">
        <v>971</v>
      </c>
      <c r="B55" s="1136" t="str">
        <f>'Nhân công'!B42</f>
        <v>Chuẩn bị tư liệu, tài liệu và phục vụ giám sát, kiểm tra, nghiệm thu; tổng hợp, xác định khối lượng sản phẩm đã thực hiện theo định kỳ hàng tháng, theo công đoạn công trình và khi kết thúc công trình. Lập biên bản bàn giao dữ liệu địa chính</v>
      </c>
      <c r="C55" s="316" t="str">
        <f>'Nhân công'!C42</f>
        <v>Thửa</v>
      </c>
      <c r="D55" s="944">
        <v>6.7999999999999996E-3</v>
      </c>
      <c r="E55" s="1762">
        <f>D55*$F$5</f>
        <v>8.4305447999999981</v>
      </c>
      <c r="F55" s="1763"/>
      <c r="G55" s="1764"/>
      <c r="K55" s="1487"/>
    </row>
    <row r="56" spans="1:11">
      <c r="D56" s="1767"/>
      <c r="E56" s="1767"/>
      <c r="F56" s="1767"/>
      <c r="G56" s="1767"/>
      <c r="H56" s="1075"/>
      <c r="I56" s="1075"/>
      <c r="J56" s="1075"/>
      <c r="K56" s="1075"/>
    </row>
    <row r="57" spans="1:11">
      <c r="E57" s="1763"/>
    </row>
    <row r="58" spans="1:11">
      <c r="E58" s="1768">
        <f>SUM(E18:E55)</f>
        <v>2129.4547312399995</v>
      </c>
    </row>
    <row r="60" spans="1:11" ht="15.75">
      <c r="B60" s="1769" t="s">
        <v>6</v>
      </c>
    </row>
    <row r="61" spans="1:11" ht="68.25" customHeight="1">
      <c r="B61" s="1770" t="s">
        <v>975</v>
      </c>
      <c r="D61" s="963">
        <f>(10/300)*30%</f>
        <v>0.01</v>
      </c>
    </row>
  </sheetData>
  <mergeCells count="5">
    <mergeCell ref="A1:E1"/>
    <mergeCell ref="A3:A4"/>
    <mergeCell ref="B3:B4"/>
    <mergeCell ref="C3:C4"/>
    <mergeCell ref="E3:E4"/>
  </mergeCells>
  <phoneticPr fontId="0" type="noConversion"/>
  <pageMargins left="0.45866141700000002" right="0" top="0.35433070866141703" bottom="0.10433070899999999" header="0.31496062992126" footer="0.196850393700787"/>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70" zoomScaleNormal="70" workbookViewId="0">
      <selection activeCell="G8" sqref="G8"/>
    </sheetView>
  </sheetViews>
  <sheetFormatPr defaultRowHeight="15"/>
  <cols>
    <col min="1" max="1" width="8.875" style="902"/>
    <col min="2" max="2" width="46.25" style="1274" bestFit="1" customWidth="1"/>
    <col min="3" max="3" width="9.875" style="396" customWidth="1"/>
    <col min="4" max="4" width="22.625" style="1271" customWidth="1"/>
    <col min="5" max="6" width="19.75" style="1274" customWidth="1"/>
    <col min="7" max="7" width="19.75" style="1274" bestFit="1" customWidth="1"/>
    <col min="8" max="8" width="12.25" bestFit="1" customWidth="1"/>
    <col min="9" max="9" width="16.875" bestFit="1" customWidth="1"/>
    <col min="10" max="10" width="19.375" bestFit="1" customWidth="1"/>
    <col min="11" max="11" width="23.25" style="1266" customWidth="1"/>
    <col min="12" max="12" width="25.25" bestFit="1" customWidth="1"/>
  </cols>
  <sheetData>
    <row r="1" spans="1:13" ht="75" customHeight="1">
      <c r="A1" s="1876" t="s">
        <v>897</v>
      </c>
      <c r="B1" s="1877"/>
      <c r="C1" s="1877"/>
      <c r="D1" s="1877"/>
      <c r="E1" s="1877"/>
      <c r="F1" s="1877"/>
      <c r="G1" s="1877"/>
      <c r="H1" s="1877"/>
      <c r="I1" s="1877"/>
      <c r="J1" s="1877"/>
      <c r="K1" s="1877"/>
    </row>
    <row r="2" spans="1:13" ht="15.75">
      <c r="E2" s="1445" t="s">
        <v>167</v>
      </c>
      <c r="F2" s="1445" t="s">
        <v>168</v>
      </c>
      <c r="G2" s="1445" t="s">
        <v>166</v>
      </c>
    </row>
    <row r="3" spans="1:13" ht="15.75">
      <c r="A3" s="1272" t="s">
        <v>9</v>
      </c>
      <c r="B3" s="1272" t="s">
        <v>109</v>
      </c>
      <c r="C3" s="1272" t="s">
        <v>20</v>
      </c>
      <c r="D3" s="1273" t="s">
        <v>899</v>
      </c>
      <c r="E3" s="1272" t="s">
        <v>17</v>
      </c>
      <c r="F3" s="1272" t="s">
        <v>17</v>
      </c>
      <c r="G3" s="308" t="s">
        <v>17</v>
      </c>
      <c r="H3" s="308" t="s">
        <v>111</v>
      </c>
      <c r="I3" s="373" t="s">
        <v>246</v>
      </c>
      <c r="J3" s="1267" t="s">
        <v>19</v>
      </c>
      <c r="K3" s="308" t="s">
        <v>797</v>
      </c>
    </row>
    <row r="4" spans="1:13" s="517" customFormat="1" ht="15.75">
      <c r="A4" s="312">
        <v>1</v>
      </c>
      <c r="B4" s="1269" t="s">
        <v>861</v>
      </c>
      <c r="C4" s="1273"/>
      <c r="D4" s="413"/>
      <c r="E4" s="1269"/>
      <c r="F4" s="1269"/>
      <c r="G4" s="1269"/>
      <c r="H4" s="1270"/>
      <c r="I4" s="1444"/>
      <c r="J4" s="1270"/>
      <c r="K4" s="1269"/>
    </row>
    <row r="5" spans="1:13" ht="31.5">
      <c r="A5" s="309"/>
      <c r="B5" s="1263" t="s">
        <v>972</v>
      </c>
      <c r="C5" s="316" t="s">
        <v>1</v>
      </c>
      <c r="D5" s="391" t="s">
        <v>1004</v>
      </c>
      <c r="E5" s="391" t="s">
        <v>1009</v>
      </c>
      <c r="F5" s="391" t="s">
        <v>1014</v>
      </c>
      <c r="G5" s="391" t="s">
        <v>1019</v>
      </c>
      <c r="H5" s="400"/>
      <c r="I5" s="1350"/>
      <c r="J5" s="400"/>
      <c r="K5" s="400" t="s">
        <v>898</v>
      </c>
    </row>
    <row r="6" spans="1:13" s="517" customFormat="1" ht="31.5">
      <c r="A6" s="312">
        <v>2</v>
      </c>
      <c r="B6" s="1269" t="s">
        <v>910</v>
      </c>
      <c r="C6" s="1273"/>
      <c r="D6" s="413"/>
      <c r="E6" s="1269"/>
      <c r="F6" s="1269"/>
      <c r="G6" s="1269"/>
      <c r="H6" s="1270"/>
      <c r="I6" s="1444"/>
      <c r="J6" s="1270"/>
      <c r="K6" s="1269"/>
    </row>
    <row r="7" spans="1:13" ht="47.25">
      <c r="A7" s="309" t="s">
        <v>119</v>
      </c>
      <c r="B7" s="1263" t="s">
        <v>802</v>
      </c>
      <c r="C7" s="316" t="s">
        <v>920</v>
      </c>
      <c r="D7" s="1136" t="s">
        <v>1005</v>
      </c>
      <c r="E7" s="1268" t="s">
        <v>1010</v>
      </c>
      <c r="F7" s="1268" t="s">
        <v>1015</v>
      </c>
      <c r="G7" s="1268" t="s">
        <v>1020</v>
      </c>
      <c r="H7" s="400"/>
      <c r="I7" s="1350"/>
      <c r="J7" s="400"/>
      <c r="K7" s="1268"/>
    </row>
    <row r="8" spans="1:13" ht="47.25">
      <c r="A8" s="309" t="s">
        <v>158</v>
      </c>
      <c r="B8" s="1263" t="s">
        <v>146</v>
      </c>
      <c r="C8" s="316" t="s">
        <v>1</v>
      </c>
      <c r="D8" s="1136" t="s">
        <v>1093</v>
      </c>
      <c r="E8" s="1268" t="s">
        <v>1094</v>
      </c>
      <c r="F8" s="1268" t="s">
        <v>1095</v>
      </c>
      <c r="G8" s="1268" t="s">
        <v>1096</v>
      </c>
      <c r="H8" s="400"/>
      <c r="I8" s="1350"/>
      <c r="J8" s="400"/>
      <c r="K8" s="1268"/>
    </row>
    <row r="9" spans="1:13" s="517" customFormat="1" ht="31.5">
      <c r="A9" s="312">
        <v>3</v>
      </c>
      <c r="B9" s="1269" t="s">
        <v>864</v>
      </c>
      <c r="C9" s="1273"/>
      <c r="D9" s="1136" t="s">
        <v>1006</v>
      </c>
      <c r="E9" s="1268" t="s">
        <v>1011</v>
      </c>
      <c r="F9" s="1268" t="s">
        <v>1018</v>
      </c>
      <c r="G9" s="1268" t="s">
        <v>1021</v>
      </c>
      <c r="H9" s="1270"/>
      <c r="I9" s="1444"/>
      <c r="J9" s="1270"/>
      <c r="K9" s="1269"/>
    </row>
    <row r="10" spans="1:13" s="517" customFormat="1" ht="31.5">
      <c r="A10" s="312">
        <v>4</v>
      </c>
      <c r="B10" s="1269" t="s">
        <v>973</v>
      </c>
      <c r="C10" s="1310"/>
      <c r="D10" s="1136" t="s">
        <v>1007</v>
      </c>
      <c r="E10" s="1268" t="s">
        <v>1012</v>
      </c>
      <c r="F10" s="1268" t="s">
        <v>1016</v>
      </c>
      <c r="G10" s="1268" t="s">
        <v>1022</v>
      </c>
      <c r="H10" s="1270"/>
      <c r="I10" s="1444"/>
      <c r="J10" s="1270"/>
      <c r="K10" s="1269"/>
    </row>
    <row r="11" spans="1:13" s="517" customFormat="1" ht="31.5">
      <c r="A11" s="312">
        <v>5</v>
      </c>
      <c r="B11" s="1269" t="s">
        <v>919</v>
      </c>
      <c r="C11" s="1273"/>
      <c r="D11" s="1136" t="s">
        <v>1008</v>
      </c>
      <c r="E11" s="1268" t="s">
        <v>1013</v>
      </c>
      <c r="F11" s="1268" t="s">
        <v>1017</v>
      </c>
      <c r="G11" s="1268" t="s">
        <v>1023</v>
      </c>
      <c r="H11" s="1270"/>
      <c r="I11" s="1444"/>
      <c r="J11" s="1270"/>
      <c r="K11" s="1269"/>
    </row>
    <row r="15" spans="1:13" ht="15.75" customHeight="1">
      <c r="A15" s="1878" t="s">
        <v>9</v>
      </c>
      <c r="B15" s="1878" t="s">
        <v>109</v>
      </c>
      <c r="C15" s="1878" t="s">
        <v>262</v>
      </c>
      <c r="D15" s="1878" t="s">
        <v>260</v>
      </c>
      <c r="E15" s="1878" t="s">
        <v>259</v>
      </c>
      <c r="F15" s="1878" t="s">
        <v>258</v>
      </c>
      <c r="G15" s="1878" t="s">
        <v>257</v>
      </c>
      <c r="H15" s="1882"/>
      <c r="I15" s="1878" t="s">
        <v>256</v>
      </c>
      <c r="J15" s="1878" t="s">
        <v>255</v>
      </c>
      <c r="K15" s="1878" t="s">
        <v>254</v>
      </c>
      <c r="L15" s="1879" t="s">
        <v>253</v>
      </c>
      <c r="M15" s="1880"/>
    </row>
    <row r="16" spans="1:13" ht="64.5" customHeight="1">
      <c r="A16" s="1878"/>
      <c r="B16" s="1878"/>
      <c r="C16" s="1878" t="s">
        <v>252</v>
      </c>
      <c r="D16" s="1878"/>
      <c r="E16" s="1878"/>
      <c r="F16" s="1878"/>
      <c r="G16" s="432" t="s">
        <v>251</v>
      </c>
      <c r="H16" s="432" t="s">
        <v>250</v>
      </c>
      <c r="I16" s="1878"/>
      <c r="J16" s="1878"/>
      <c r="K16" s="1878" t="s">
        <v>1092</v>
      </c>
      <c r="L16" s="1879" t="s">
        <v>249</v>
      </c>
      <c r="M16" s="1881"/>
    </row>
    <row r="17" spans="1:12" ht="15.75">
      <c r="A17" s="312">
        <v>1</v>
      </c>
      <c r="B17" s="1269" t="s">
        <v>861</v>
      </c>
      <c r="C17" s="1407"/>
      <c r="D17" s="1406"/>
      <c r="E17" s="1405"/>
      <c r="F17" s="1490"/>
      <c r="G17" s="1491"/>
      <c r="H17" s="1350"/>
      <c r="I17" s="1350"/>
      <c r="J17" s="1350"/>
      <c r="K17" s="1491"/>
      <c r="L17" s="1350"/>
    </row>
    <row r="18" spans="1:12" ht="31.5">
      <c r="A18" s="309"/>
      <c r="B18" s="1263" t="s">
        <v>972</v>
      </c>
      <c r="C18" s="1407" t="str">
        <f>C5</f>
        <v>Thửa</v>
      </c>
      <c r="D18" s="1488">
        <f>'Don gia XCSDL DC'!D10*0.5</f>
        <v>738.57523461538472</v>
      </c>
      <c r="E18" s="1489">
        <f>'Don gia XCSDL DC'!E10*0.5</f>
        <v>6.3332761525384615</v>
      </c>
      <c r="F18" s="1492">
        <f>'Don gia XCSDL DC'!F10*0.5</f>
        <v>7.0047908999999988</v>
      </c>
      <c r="G18" s="1492">
        <f>'Don gia XCSDL DC'!G10*0.5</f>
        <v>6.45</v>
      </c>
      <c r="H18" s="1493">
        <f>'Don gia XCSDL DC'!H10*0.5</f>
        <v>12.139199999999999</v>
      </c>
      <c r="I18" s="1493">
        <f>SUM(D18:H18)</f>
        <v>770.50250166792318</v>
      </c>
      <c r="J18" s="1493">
        <f>I18*15%</f>
        <v>115.57537525018847</v>
      </c>
      <c r="K18" s="1492">
        <f>I18+J18</f>
        <v>886.07787691811166</v>
      </c>
      <c r="L18" s="1493">
        <f>K18-G18</f>
        <v>879.62787691811161</v>
      </c>
    </row>
    <row r="19" spans="1:12" ht="31.5">
      <c r="A19" s="312">
        <v>2</v>
      </c>
      <c r="B19" s="1269" t="s">
        <v>910</v>
      </c>
      <c r="C19" s="1407"/>
      <c r="D19" s="1488"/>
      <c r="E19" s="1489"/>
      <c r="F19" s="1492"/>
      <c r="G19" s="1492"/>
      <c r="H19" s="1493"/>
      <c r="I19" s="1493">
        <f t="shared" ref="I19:I24" si="0">SUM(D19:H19)</f>
        <v>0</v>
      </c>
      <c r="J19" s="1493">
        <f t="shared" ref="J19:J24" si="1">I19*15%</f>
        <v>0</v>
      </c>
      <c r="K19" s="1492">
        <f t="shared" ref="K19:K24" si="2">I19+J19</f>
        <v>0</v>
      </c>
      <c r="L19" s="1493">
        <f t="shared" ref="L19:L24" si="3">K19-G19</f>
        <v>0</v>
      </c>
    </row>
    <row r="20" spans="1:12" ht="31.5">
      <c r="A20" s="309" t="s">
        <v>119</v>
      </c>
      <c r="B20" s="1263" t="s">
        <v>802</v>
      </c>
      <c r="C20" s="1407" t="str">
        <f t="shared" ref="C20:C21" si="4">C7</f>
        <v>Bộ dữ liệu</v>
      </c>
      <c r="D20" s="1488">
        <f>'Nhân công Nen'!G6+'Nhân công Nen'!G7+'Nhân công Nen'!G8+'Nhân công Nen'!G11</f>
        <v>6404134.615384615</v>
      </c>
      <c r="E20" s="1489" t="e">
        <f>'Dụng cụ Nen'!#REF!+'Dụng cụ Nen'!#REF!+'Dụng cụ Nen'!#REF!+'Dụng cụ Nen'!#REF!</f>
        <v>#REF!</v>
      </c>
      <c r="F20" s="1492">
        <f>'Vật liệu Nen'!E19+'Vật liệu Nen'!E20+'Vật liệu Nen'!E21+'Vật liệu Nen'!E24</f>
        <v>1139591.8080000002</v>
      </c>
      <c r="G20" s="1492">
        <f>'Thiết bị Nen'!I11+'Thiết bị Nen'!I16+'Thiết bị Nen'!I21+'Thiết bị Nen'!I32</f>
        <v>1590492</v>
      </c>
      <c r="H20" s="1493">
        <f>'Thiết bị Nen'!I15+'Thiết bị Nen'!I20+'Thiết bị Nen'!I25+'Thiết bị Nen'!I38</f>
        <v>187483.19999999998</v>
      </c>
      <c r="I20" s="1493" t="e">
        <f t="shared" si="0"/>
        <v>#REF!</v>
      </c>
      <c r="J20" s="1493" t="e">
        <f t="shared" si="1"/>
        <v>#REF!</v>
      </c>
      <c r="K20" s="1492" t="e">
        <f t="shared" si="2"/>
        <v>#REF!</v>
      </c>
      <c r="L20" s="1493" t="e">
        <f t="shared" si="3"/>
        <v>#REF!</v>
      </c>
    </row>
    <row r="21" spans="1:12" ht="15.75">
      <c r="A21" s="309" t="s">
        <v>158</v>
      </c>
      <c r="B21" s="1263" t="s">
        <v>146</v>
      </c>
      <c r="C21" s="1407" t="str">
        <f t="shared" si="4"/>
        <v>Thửa</v>
      </c>
      <c r="D21" s="1488">
        <f>'Don gia XCSDL DC'!D20</f>
        <v>355.24035576923075</v>
      </c>
      <c r="E21" s="1488">
        <f>'Don gia XCSDL DC'!E20</f>
        <v>4.9321088621538474</v>
      </c>
      <c r="F21" s="1488">
        <f>'Don gia XCSDL DC'!F20</f>
        <v>5.4550583999999995</v>
      </c>
      <c r="G21" s="1488">
        <f>'Don gia XCSDL DC'!G20</f>
        <v>101.87999999999998</v>
      </c>
      <c r="H21" s="1488">
        <f>'Don gia XCSDL DC'!H20</f>
        <v>13.488</v>
      </c>
      <c r="I21" s="1493">
        <f t="shared" si="0"/>
        <v>480.99552303138455</v>
      </c>
      <c r="J21" s="1493">
        <f t="shared" si="1"/>
        <v>72.149328454707685</v>
      </c>
      <c r="K21" s="1492">
        <f t="shared" si="2"/>
        <v>553.14485148609219</v>
      </c>
      <c r="L21" s="1493">
        <f t="shared" si="3"/>
        <v>451.2648514860922</v>
      </c>
    </row>
    <row r="22" spans="1:12" ht="15.75">
      <c r="A22" s="312">
        <v>3</v>
      </c>
      <c r="B22" s="1269" t="s">
        <v>864</v>
      </c>
      <c r="C22" s="1407" t="s">
        <v>1</v>
      </c>
      <c r="D22" s="1488">
        <f>'Don gia XCSDL DC'!D37</f>
        <v>0</v>
      </c>
      <c r="E22" s="1488">
        <f>'Don gia XCSDL DC'!E37</f>
        <v>0</v>
      </c>
      <c r="F22" s="1488">
        <f>'Don gia XCSDL DC'!F37</f>
        <v>0</v>
      </c>
      <c r="G22" s="1488">
        <f>'Don gia XCSDL DC'!G37</f>
        <v>0</v>
      </c>
      <c r="H22" s="1488">
        <f>'Don gia XCSDL DC'!H37</f>
        <v>0</v>
      </c>
      <c r="I22" s="1493">
        <f t="shared" si="0"/>
        <v>0</v>
      </c>
      <c r="J22" s="1493">
        <f t="shared" si="1"/>
        <v>0</v>
      </c>
      <c r="K22" s="1492">
        <f t="shared" si="2"/>
        <v>0</v>
      </c>
      <c r="L22" s="1493">
        <f t="shared" si="3"/>
        <v>0</v>
      </c>
    </row>
    <row r="23" spans="1:12" ht="15.75">
      <c r="A23" s="312">
        <v>4</v>
      </c>
      <c r="B23" s="1269" t="s">
        <v>973</v>
      </c>
      <c r="C23" s="1407" t="s">
        <v>1</v>
      </c>
      <c r="D23" s="1488">
        <f>'Don gia XCSDL DC'!D43</f>
        <v>2134.7115384615386</v>
      </c>
      <c r="E23" s="1488">
        <f>'Don gia XCSDL DC'!E43</f>
        <v>33.291734819538469</v>
      </c>
      <c r="F23" s="1488">
        <f>'Don gia XCSDL DC'!F43</f>
        <v>36.821644199999994</v>
      </c>
      <c r="G23" s="1488">
        <f>'Don gia XCSDL DC'!G43</f>
        <v>147.67619999999999</v>
      </c>
      <c r="H23" s="1488">
        <f>'Don gia XCSDL DC'!H43</f>
        <v>149.71680000000001</v>
      </c>
      <c r="I23" s="1493">
        <f t="shared" si="0"/>
        <v>2502.2179174810767</v>
      </c>
      <c r="J23" s="1493">
        <f t="shared" si="1"/>
        <v>375.33268762216147</v>
      </c>
      <c r="K23" s="1492">
        <f t="shared" si="2"/>
        <v>2877.550605103238</v>
      </c>
      <c r="L23" s="1493">
        <f t="shared" si="3"/>
        <v>2729.8744051032381</v>
      </c>
    </row>
    <row r="24" spans="1:12" ht="15.75">
      <c r="A24" s="312">
        <v>5</v>
      </c>
      <c r="B24" s="1269" t="s">
        <v>919</v>
      </c>
      <c r="C24" s="1407" t="s">
        <v>1</v>
      </c>
      <c r="D24" s="1488">
        <f>'Don gia XCSDL DC'!D45</f>
        <v>403.08110384615389</v>
      </c>
      <c r="E24" s="1488">
        <f>'Don gia XCSDL DC'!E45</f>
        <v>7.6223500596923079</v>
      </c>
      <c r="F24" s="1488">
        <f>'Don gia XCSDL DC'!F45</f>
        <v>8.4305447999999981</v>
      </c>
      <c r="G24" s="1488">
        <f>'Don gia XCSDL DC'!G45</f>
        <v>7.8</v>
      </c>
      <c r="H24" s="1488">
        <f>'Don gia XCSDL DC'!H45</f>
        <v>14.8368</v>
      </c>
      <c r="I24" s="1493">
        <f t="shared" si="0"/>
        <v>441.77079870584618</v>
      </c>
      <c r="J24" s="1493">
        <f t="shared" si="1"/>
        <v>66.265619805876923</v>
      </c>
      <c r="K24" s="1492">
        <f t="shared" si="2"/>
        <v>508.03641851172313</v>
      </c>
      <c r="L24" s="1493">
        <f t="shared" si="3"/>
        <v>500.23641851172312</v>
      </c>
    </row>
  </sheetData>
  <mergeCells count="13">
    <mergeCell ref="L15:L16"/>
    <mergeCell ref="M15:M16"/>
    <mergeCell ref="A15:A16"/>
    <mergeCell ref="B15:B16"/>
    <mergeCell ref="G15:H15"/>
    <mergeCell ref="I15:I16"/>
    <mergeCell ref="A1:K1"/>
    <mergeCell ref="C15:C16"/>
    <mergeCell ref="D15:D16"/>
    <mergeCell ref="E15:E16"/>
    <mergeCell ref="F15:F16"/>
    <mergeCell ref="J15:J16"/>
    <mergeCell ref="K15:K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8"/>
  <sheetViews>
    <sheetView zoomScaleNormal="100" workbookViewId="0">
      <pane ySplit="2" topLeftCell="A12" activePane="bottomLeft" state="frozen"/>
      <selection activeCell="E6" sqref="E6"/>
      <selection pane="bottomLeft" activeCell="R8" sqref="R8"/>
    </sheetView>
  </sheetViews>
  <sheetFormatPr defaultColWidth="9" defaultRowHeight="15"/>
  <cols>
    <col min="1" max="1" width="5.25" style="233" customWidth="1"/>
    <col min="2" max="2" width="38" style="233" customWidth="1"/>
    <col min="3" max="3" width="5.5" style="233" customWidth="1"/>
    <col min="4" max="4" width="6.875" style="233" customWidth="1"/>
    <col min="5" max="5" width="7.625" style="234" customWidth="1"/>
    <col min="6" max="6" width="8.75" style="235" customWidth="1"/>
    <col min="7" max="7" width="10.75" style="1142" customWidth="1"/>
    <col min="8" max="9" width="0" style="233" hidden="1" customWidth="1"/>
    <col min="10" max="10" width="14.625" style="233" hidden="1" customWidth="1"/>
    <col min="11" max="11" width="18.375" style="233" hidden="1" customWidth="1"/>
    <col min="12" max="16" width="0" style="233" hidden="1" customWidth="1"/>
    <col min="17" max="16384" width="9" style="233"/>
  </cols>
  <sheetData>
    <row r="1" spans="1:18" ht="70.5" customHeight="1">
      <c r="A1" s="1858" t="s">
        <v>1134</v>
      </c>
      <c r="B1" s="1858"/>
      <c r="C1" s="1858"/>
      <c r="D1" s="1858"/>
      <c r="E1" s="1858"/>
      <c r="F1" s="1858"/>
      <c r="G1" s="1858"/>
    </row>
    <row r="2" spans="1:18" ht="69" customHeight="1">
      <c r="A2" s="1594" t="s">
        <v>14</v>
      </c>
      <c r="B2" s="1594" t="s">
        <v>109</v>
      </c>
      <c r="C2" s="1594" t="s">
        <v>20</v>
      </c>
      <c r="D2" s="1594" t="s">
        <v>7</v>
      </c>
      <c r="E2" s="308" t="s">
        <v>1103</v>
      </c>
      <c r="F2" s="373" t="s">
        <v>1102</v>
      </c>
      <c r="G2" s="373" t="s">
        <v>19</v>
      </c>
      <c r="H2" s="232"/>
      <c r="I2" s="232"/>
    </row>
    <row r="3" spans="1:18" s="352" customFormat="1" ht="15.75">
      <c r="A3" s="312"/>
      <c r="B3" s="1138" t="s">
        <v>799</v>
      </c>
      <c r="C3" s="1594"/>
      <c r="D3" s="1594"/>
      <c r="E3" s="308"/>
      <c r="F3" s="811"/>
      <c r="G3" s="1144"/>
      <c r="H3" s="351"/>
      <c r="I3" s="351"/>
    </row>
    <row r="4" spans="1:18" ht="15.75">
      <c r="A4" s="312">
        <v>1</v>
      </c>
      <c r="B4" s="1138" t="s">
        <v>799</v>
      </c>
      <c r="C4" s="1594"/>
      <c r="D4" s="1594"/>
      <c r="E4" s="308"/>
      <c r="F4" s="811"/>
      <c r="G4" s="475"/>
      <c r="H4" s="232"/>
      <c r="I4" s="232"/>
    </row>
    <row r="5" spans="1:18" ht="31.5">
      <c r="A5" s="309" t="s">
        <v>156</v>
      </c>
      <c r="B5" s="1136" t="s">
        <v>931</v>
      </c>
      <c r="C5" s="316" t="s">
        <v>176</v>
      </c>
      <c r="D5" s="316" t="s">
        <v>913</v>
      </c>
      <c r="E5" s="374">
        <v>5</v>
      </c>
      <c r="F5" s="809">
        <f>L_CBan!K38</f>
        <v>213471.15384615384</v>
      </c>
      <c r="G5" s="1141">
        <f>E5*F5</f>
        <v>1067355.7692307692</v>
      </c>
      <c r="H5" s="232"/>
      <c r="I5" s="232"/>
    </row>
    <row r="6" spans="1:18" ht="31.5">
      <c r="A6" s="309" t="s">
        <v>157</v>
      </c>
      <c r="B6" s="1136" t="s">
        <v>844</v>
      </c>
      <c r="C6" s="316" t="s">
        <v>176</v>
      </c>
      <c r="D6" s="316" t="s">
        <v>913</v>
      </c>
      <c r="E6" s="374">
        <v>12</v>
      </c>
      <c r="F6" s="809">
        <f>L_CBan!K38</f>
        <v>213471.15384615384</v>
      </c>
      <c r="G6" s="1141">
        <f>E6*F6</f>
        <v>2561653.846153846</v>
      </c>
      <c r="H6" s="1883" t="s">
        <v>932</v>
      </c>
      <c r="I6" s="1884"/>
      <c r="J6" s="1884"/>
      <c r="K6" s="1884"/>
      <c r="L6" s="1884"/>
      <c r="M6" s="1884"/>
    </row>
    <row r="7" spans="1:18" ht="48.75" customHeight="1">
      <c r="A7" s="309" t="s">
        <v>727</v>
      </c>
      <c r="B7" s="1136" t="s">
        <v>1033</v>
      </c>
      <c r="C7" s="316" t="s">
        <v>176</v>
      </c>
      <c r="D7" s="316" t="s">
        <v>913</v>
      </c>
      <c r="E7" s="374">
        <v>3</v>
      </c>
      <c r="F7" s="809">
        <f>L_CBan!K38</f>
        <v>213471.15384615384</v>
      </c>
      <c r="G7" s="1141">
        <f>E7*F7</f>
        <v>640413.4615384615</v>
      </c>
      <c r="H7" s="232"/>
      <c r="I7" s="232"/>
    </row>
    <row r="8" spans="1:18" ht="92.25" customHeight="1">
      <c r="A8" s="309" t="s">
        <v>930</v>
      </c>
      <c r="B8" s="1136" t="s">
        <v>901</v>
      </c>
      <c r="C8" s="316" t="s">
        <v>176</v>
      </c>
      <c r="D8" s="316" t="s">
        <v>913</v>
      </c>
      <c r="E8" s="374">
        <v>10</v>
      </c>
      <c r="F8" s="809">
        <f>L_CBan!K38</f>
        <v>213471.15384615384</v>
      </c>
      <c r="G8" s="1141">
        <f>E8*F8</f>
        <v>2134711.5384615385</v>
      </c>
      <c r="H8" s="232"/>
      <c r="I8" s="232"/>
    </row>
    <row r="9" spans="1:18" ht="15.75">
      <c r="A9" s="312">
        <v>2</v>
      </c>
      <c r="B9" s="1138" t="s">
        <v>845</v>
      </c>
      <c r="C9" s="1594"/>
      <c r="D9" s="1594"/>
      <c r="E9" s="308"/>
      <c r="F9" s="811"/>
      <c r="G9" s="1141"/>
      <c r="H9" s="232"/>
      <c r="I9" s="232"/>
    </row>
    <row r="10" spans="1:18" ht="57.75" customHeight="1">
      <c r="A10" s="309" t="s">
        <v>119</v>
      </c>
      <c r="B10" s="1136" t="s">
        <v>846</v>
      </c>
      <c r="C10" s="316" t="s">
        <v>176</v>
      </c>
      <c r="D10" s="316" t="s">
        <v>913</v>
      </c>
      <c r="E10" s="374">
        <v>12</v>
      </c>
      <c r="F10" s="809">
        <f>L_CBan!K38</f>
        <v>213471.15384615384</v>
      </c>
      <c r="G10" s="1141">
        <f>E10*F10</f>
        <v>2561653.846153846</v>
      </c>
      <c r="H10" s="232"/>
      <c r="I10" s="232"/>
    </row>
    <row r="11" spans="1:18" ht="47.25">
      <c r="A11" s="309" t="s">
        <v>158</v>
      </c>
      <c r="B11" s="1136" t="s">
        <v>1034</v>
      </c>
      <c r="C11" s="316" t="s">
        <v>176</v>
      </c>
      <c r="D11" s="316" t="s">
        <v>913</v>
      </c>
      <c r="E11" s="374">
        <v>5</v>
      </c>
      <c r="F11" s="809">
        <f>L_CBan!K38</f>
        <v>213471.15384615384</v>
      </c>
      <c r="G11" s="1141">
        <f>E11*F11</f>
        <v>1067355.7692307692</v>
      </c>
      <c r="H11" s="232"/>
      <c r="I11" s="232"/>
      <c r="R11" s="235">
        <f>SUM(G5:G11)</f>
        <v>10033144.23076923</v>
      </c>
    </row>
    <row r="12" spans="1:18" ht="15.75">
      <c r="A12" s="232"/>
      <c r="B12" s="232"/>
      <c r="C12" s="232"/>
      <c r="D12" s="232"/>
      <c r="E12" s="834"/>
      <c r="F12" s="835"/>
      <c r="G12" s="1293"/>
      <c r="H12" s="232"/>
      <c r="I12" s="232"/>
    </row>
    <row r="13" spans="1:18" ht="15.75">
      <c r="A13" s="232"/>
      <c r="B13" s="232" t="s">
        <v>6</v>
      </c>
      <c r="C13" s="232"/>
      <c r="D13" s="232"/>
    </row>
    <row r="14" spans="1:18" ht="47.25">
      <c r="A14" s="1344" t="s">
        <v>14</v>
      </c>
      <c r="B14" s="1344" t="s">
        <v>109</v>
      </c>
      <c r="C14" s="1147" t="s">
        <v>933</v>
      </c>
      <c r="D14" s="1343"/>
    </row>
    <row r="15" spans="1:18" ht="31.5">
      <c r="A15" s="1344">
        <v>1</v>
      </c>
      <c r="B15" s="1147" t="s">
        <v>934</v>
      </c>
      <c r="C15" s="309">
        <v>1</v>
      </c>
      <c r="D15" s="1343"/>
    </row>
    <row r="16" spans="1:18" s="232" customFormat="1" ht="35.25" customHeight="1">
      <c r="A16" s="1344">
        <v>2</v>
      </c>
      <c r="B16" s="1147" t="s">
        <v>936</v>
      </c>
      <c r="C16" s="309">
        <v>0.5</v>
      </c>
      <c r="D16" s="1343"/>
      <c r="E16" s="234"/>
      <c r="F16" s="235"/>
      <c r="G16" s="1142"/>
      <c r="H16" s="233"/>
      <c r="I16" s="233"/>
      <c r="J16" s="233"/>
      <c r="K16" s="233"/>
    </row>
    <row r="17" spans="1:4" ht="31.5">
      <c r="A17" s="1344">
        <v>3</v>
      </c>
      <c r="B17" s="1147" t="s">
        <v>935</v>
      </c>
      <c r="C17" s="309" t="s">
        <v>944</v>
      </c>
      <c r="D17" s="1343"/>
    </row>
    <row r="18" spans="1:4" ht="15.75">
      <c r="A18" s="232"/>
      <c r="B18" s="232"/>
      <c r="C18" s="232"/>
      <c r="D18" s="232"/>
    </row>
  </sheetData>
  <mergeCells count="2">
    <mergeCell ref="A1:G1"/>
    <mergeCell ref="H6:M6"/>
  </mergeCells>
  <pageMargins left="0.53740157499999996" right="0" top="0.44685039399999998" bottom="0.196850393700787" header="0.31496062992126"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zoomScale="93" zoomScaleNormal="93" workbookViewId="0">
      <selection activeCell="K12" sqref="K12"/>
    </sheetView>
  </sheetViews>
  <sheetFormatPr defaultColWidth="9" defaultRowHeight="15"/>
  <cols>
    <col min="1" max="1" width="7.875" style="334" customWidth="1"/>
    <col min="2" max="2" width="48.625" style="245" customWidth="1"/>
    <col min="3" max="3" width="5.75" style="296" bestFit="1" customWidth="1"/>
    <col min="4" max="4" width="8.625" style="245" customWidth="1"/>
    <col min="5" max="5" width="9.25" style="245" customWidth="1"/>
    <col min="6" max="6" width="12.875" style="297" customWidth="1"/>
    <col min="7" max="7" width="8.5" style="297" customWidth="1"/>
    <col min="8" max="8" width="8.875" style="298" customWidth="1"/>
    <col min="9" max="9" width="10.875" style="286" customWidth="1"/>
    <col min="10" max="11" width="9" style="245"/>
    <col min="12" max="12" width="11.875" style="245" customWidth="1"/>
    <col min="13" max="16384" width="9" style="245"/>
  </cols>
  <sheetData>
    <row r="1" spans="1:12" ht="30" customHeight="1">
      <c r="A1" s="1864" t="s">
        <v>1125</v>
      </c>
      <c r="B1" s="1864"/>
      <c r="C1" s="1864"/>
      <c r="D1" s="1864"/>
      <c r="E1" s="1864"/>
      <c r="F1" s="1864"/>
      <c r="G1" s="1864"/>
      <c r="H1" s="1864"/>
      <c r="I1" s="1864"/>
    </row>
    <row r="2" spans="1:12" ht="15.75">
      <c r="A2" s="323"/>
      <c r="B2" s="247"/>
      <c r="C2" s="246"/>
      <c r="D2" s="247"/>
      <c r="E2" s="247"/>
      <c r="F2" s="248"/>
      <c r="G2" s="249"/>
      <c r="H2" s="250" t="s">
        <v>70</v>
      </c>
      <c r="I2" s="251" t="s">
        <v>69</v>
      </c>
    </row>
    <row r="3" spans="1:12" s="257" customFormat="1" ht="69" customHeight="1">
      <c r="A3" s="275" t="s">
        <v>14</v>
      </c>
      <c r="B3" s="275" t="s">
        <v>16</v>
      </c>
      <c r="C3" s="275" t="s">
        <v>20</v>
      </c>
      <c r="D3" s="275" t="s">
        <v>4</v>
      </c>
      <c r="E3" s="275" t="s">
        <v>5</v>
      </c>
      <c r="F3" s="553" t="s">
        <v>18</v>
      </c>
      <c r="G3" s="553" t="s">
        <v>0</v>
      </c>
      <c r="H3" s="1522" t="s">
        <v>1000</v>
      </c>
      <c r="I3" s="946" t="s">
        <v>72</v>
      </c>
    </row>
    <row r="4" spans="1:12" ht="15.75">
      <c r="A4" s="275"/>
      <c r="B4" s="554" t="str">
        <f>'Nhân công Nen'!B3</f>
        <v xml:space="preserve"> Xây dựng dữ liệu không gian đất đai nền</v>
      </c>
      <c r="C4" s="280"/>
      <c r="D4" s="280"/>
      <c r="E4" s="555"/>
      <c r="F4" s="1170"/>
      <c r="G4" s="1171"/>
      <c r="H4" s="1440"/>
      <c r="I4" s="1834"/>
    </row>
    <row r="5" spans="1:12" ht="15.75">
      <c r="A5" s="1435">
        <f>'Nhân công Nen'!A4</f>
        <v>1</v>
      </c>
      <c r="B5" s="1438" t="str">
        <f>'Nhân công Nen'!B4</f>
        <v xml:space="preserve"> Xây dựng dữ liệu không gian đất đai nền</v>
      </c>
      <c r="C5" s="280"/>
      <c r="D5" s="280"/>
      <c r="E5" s="555"/>
      <c r="F5" s="1170"/>
      <c r="G5" s="1171"/>
      <c r="H5" s="1440"/>
      <c r="I5" s="1834"/>
    </row>
    <row r="6" spans="1:12" s="257" customFormat="1" ht="28.5" customHeight="1">
      <c r="A6" s="280" t="str">
        <f>'Nhân công Nen'!A5</f>
        <v>1.1</v>
      </c>
      <c r="B6" s="1168" t="str">
        <f>'Nhân công Nen'!B5</f>
        <v>Xử lý biên theo quy định về bản đồ đối với các tài liệu bản đồ tiếp giáp nhau</v>
      </c>
      <c r="C6" s="275"/>
      <c r="D6" s="275"/>
      <c r="E6" s="275"/>
      <c r="F6" s="553"/>
      <c r="G6" s="553"/>
      <c r="H6" s="1441"/>
      <c r="I6" s="1835">
        <f>SUM(I7:I9)</f>
        <v>252190</v>
      </c>
    </row>
    <row r="7" spans="1:12" ht="15.75">
      <c r="A7" s="280"/>
      <c r="B7" s="281" t="s">
        <v>73</v>
      </c>
      <c r="C7" s="280" t="s">
        <v>130</v>
      </c>
      <c r="D7" s="280">
        <f>Gia_Tbi!$D$4</f>
        <v>0.4</v>
      </c>
      <c r="E7" s="280">
        <v>5</v>
      </c>
      <c r="F7" s="1415">
        <f>Gia_Tbi!$F$4</f>
        <v>10000000</v>
      </c>
      <c r="G7" s="1416">
        <f>Gia_Tbi!$G$4</f>
        <v>4000</v>
      </c>
      <c r="H7" s="1440">
        <v>4</v>
      </c>
      <c r="I7" s="1836">
        <f>$G7*H7</f>
        <v>16000</v>
      </c>
      <c r="L7" s="1797"/>
    </row>
    <row r="8" spans="1:12" ht="15.75">
      <c r="A8" s="280"/>
      <c r="B8" s="281" t="str">
        <f>Gia_Phanmem!B7</f>
        <v xml:space="preserve">Phần mềm biên tập bản đồ </v>
      </c>
      <c r="C8" s="280" t="str">
        <f>Gia_Phanmem!C7</f>
        <v>Bộ</v>
      </c>
      <c r="D8" s="280"/>
      <c r="E8" s="280">
        <f>Gia_Phanmem!E7</f>
        <v>5</v>
      </c>
      <c r="F8" s="1413">
        <f>Gia_Phanmem!$F$7</f>
        <v>147000000</v>
      </c>
      <c r="G8" s="1416">
        <f>Gia_Phanmem!G7</f>
        <v>58800</v>
      </c>
      <c r="H8" s="1440">
        <v>4</v>
      </c>
      <c r="I8" s="1836">
        <f>$G8*H8</f>
        <v>235200</v>
      </c>
      <c r="L8" s="1797"/>
    </row>
    <row r="9" spans="1:12" ht="15.75">
      <c r="A9" s="280"/>
      <c r="B9" s="281" t="s">
        <v>24</v>
      </c>
      <c r="C9" s="280" t="s">
        <v>130</v>
      </c>
      <c r="D9" s="280">
        <f>Gia_Tbi!$D$6</f>
        <v>2.2000000000000002</v>
      </c>
      <c r="E9" s="280">
        <v>8</v>
      </c>
      <c r="F9" s="1415">
        <f>Gia_Tbi!$F$6</f>
        <v>12000000</v>
      </c>
      <c r="G9" s="1416">
        <f>Gia_Tbi!$G$6</f>
        <v>3000</v>
      </c>
      <c r="H9" s="1440">
        <v>0.33</v>
      </c>
      <c r="I9" s="1836">
        <f>$G9*H9</f>
        <v>990</v>
      </c>
      <c r="K9" s="1508"/>
    </row>
    <row r="10" spans="1:12" ht="15.75">
      <c r="A10" s="280"/>
      <c r="B10" s="281" t="s">
        <v>8</v>
      </c>
      <c r="C10" s="280" t="s">
        <v>147</v>
      </c>
      <c r="D10" s="280"/>
      <c r="E10" s="555"/>
      <c r="F10" s="1170">
        <f>Gia_Tbi!$F$13</f>
        <v>1686</v>
      </c>
      <c r="G10" s="1171">
        <f>Gia_Tbi!$G$13</f>
        <v>13488</v>
      </c>
      <c r="H10" s="1440">
        <v>2.33</v>
      </c>
      <c r="I10" s="1836">
        <f>$G10*H10</f>
        <v>31427.040000000001</v>
      </c>
    </row>
    <row r="11" spans="1:12" s="257" customFormat="1" ht="28.5" customHeight="1">
      <c r="A11" s="280" t="str">
        <f>'Nhân công Nen'!A6</f>
        <v>1.2</v>
      </c>
      <c r="B11" s="1168" t="str">
        <f>'Nhân công Nen'!B6</f>
        <v>Tách, lọc và chuẩn hóa các lớp đối tượng không gian đất đai nền</v>
      </c>
      <c r="C11" s="275"/>
      <c r="D11" s="275"/>
      <c r="E11" s="275"/>
      <c r="F11" s="553"/>
      <c r="G11" s="553"/>
      <c r="H11" s="1441"/>
      <c r="I11" s="1835">
        <f>SUM(I12:I14)</f>
        <v>605280</v>
      </c>
      <c r="K11" s="1845"/>
    </row>
    <row r="12" spans="1:12" ht="15.75">
      <c r="A12" s="280"/>
      <c r="B12" s="281" t="s">
        <v>73</v>
      </c>
      <c r="C12" s="280" t="s">
        <v>130</v>
      </c>
      <c r="D12" s="280">
        <f>Gia_Tbi!$D$4</f>
        <v>0.4</v>
      </c>
      <c r="E12" s="280">
        <v>5</v>
      </c>
      <c r="F12" s="1415">
        <f>Gia_Tbi!$F$4</f>
        <v>10000000</v>
      </c>
      <c r="G12" s="1416">
        <f>Gia_Tbi!$G$4</f>
        <v>4000</v>
      </c>
      <c r="H12" s="1440">
        <v>9.6</v>
      </c>
      <c r="I12" s="1836">
        <f>$G12*H12</f>
        <v>38400</v>
      </c>
    </row>
    <row r="13" spans="1:12" ht="15.75">
      <c r="A13" s="280"/>
      <c r="B13" s="281" t="str">
        <f>B8</f>
        <v xml:space="preserve">Phần mềm biên tập bản đồ </v>
      </c>
      <c r="C13" s="280" t="str">
        <f>C8</f>
        <v>Bộ</v>
      </c>
      <c r="D13" s="280"/>
      <c r="E13" s="280">
        <f>E8</f>
        <v>5</v>
      </c>
      <c r="F13" s="1413">
        <f>Gia_Phanmem!$F$7</f>
        <v>147000000</v>
      </c>
      <c r="G13" s="1416">
        <f>G8</f>
        <v>58800</v>
      </c>
      <c r="H13" s="1440">
        <v>9.6</v>
      </c>
      <c r="I13" s="1836">
        <f t="shared" ref="I13" si="0">$G13*H13</f>
        <v>564480</v>
      </c>
    </row>
    <row r="14" spans="1:12" ht="15.75">
      <c r="A14" s="280"/>
      <c r="B14" s="281" t="s">
        <v>24</v>
      </c>
      <c r="C14" s="280" t="s">
        <v>130</v>
      </c>
      <c r="D14" s="280">
        <f>Gia_Tbi!$D$6</f>
        <v>2.2000000000000002</v>
      </c>
      <c r="E14" s="280">
        <v>8</v>
      </c>
      <c r="F14" s="1415">
        <f>Gia_Tbi!$F$6</f>
        <v>12000000</v>
      </c>
      <c r="G14" s="1416">
        <f>Gia_Tbi!$G$6</f>
        <v>3000</v>
      </c>
      <c r="H14" s="1440">
        <v>0.8</v>
      </c>
      <c r="I14" s="1836">
        <f>$G14*H14</f>
        <v>2400</v>
      </c>
    </row>
    <row r="15" spans="1:12" ht="15.75">
      <c r="A15" s="280"/>
      <c r="B15" s="281" t="s">
        <v>8</v>
      </c>
      <c r="C15" s="280" t="s">
        <v>147</v>
      </c>
      <c r="D15" s="280"/>
      <c r="E15" s="555"/>
      <c r="F15" s="1170">
        <f>Gia_Tbi!$F$13</f>
        <v>1686</v>
      </c>
      <c r="G15" s="1171">
        <f>Gia_Tbi!$G$13</f>
        <v>13488</v>
      </c>
      <c r="H15" s="1440">
        <v>5.6</v>
      </c>
      <c r="I15" s="1836">
        <f>$G15*H15</f>
        <v>75532.799999999988</v>
      </c>
    </row>
    <row r="16" spans="1:12" s="257" customFormat="1" ht="36" customHeight="1">
      <c r="A16" s="280" t="str">
        <f>'Nhân công Nen'!A7</f>
        <v>1.3</v>
      </c>
      <c r="B16" s="1168" t="str">
        <f>'Nhân công Nen'!B7</f>
        <v>Chuyển đổi các lớp đối tượng không gian đất đai nền từ tệp (File) bản đồ số vào CSDL</v>
      </c>
      <c r="C16" s="275"/>
      <c r="D16" s="275"/>
      <c r="E16" s="275"/>
      <c r="F16" s="553"/>
      <c r="G16" s="553"/>
      <c r="H16" s="1441"/>
      <c r="I16" s="1835">
        <f>SUM(I17:I19)</f>
        <v>161398</v>
      </c>
    </row>
    <row r="17" spans="1:9" ht="15.75">
      <c r="A17" s="280"/>
      <c r="B17" s="281" t="s">
        <v>73</v>
      </c>
      <c r="C17" s="280" t="s">
        <v>130</v>
      </c>
      <c r="D17" s="280">
        <f>Gia_Tbi!$D$4</f>
        <v>0.4</v>
      </c>
      <c r="E17" s="280">
        <v>5</v>
      </c>
      <c r="F17" s="1415">
        <f>Gia_Tbi!$F$4</f>
        <v>10000000</v>
      </c>
      <c r="G17" s="1416">
        <f>Gia_Tbi!$G$4</f>
        <v>4000</v>
      </c>
      <c r="H17" s="1440">
        <v>2.56</v>
      </c>
      <c r="I17" s="1836">
        <f>$G17*H17</f>
        <v>10240</v>
      </c>
    </row>
    <row r="18" spans="1:9" ht="15.75">
      <c r="A18" s="280"/>
      <c r="B18" s="281" t="str">
        <f>Gia_Phanmem!B7</f>
        <v xml:space="preserve">Phần mềm biên tập bản đồ </v>
      </c>
      <c r="C18" s="280" t="str">
        <f>Gia_Phanmem!C7</f>
        <v>Bộ</v>
      </c>
      <c r="D18" s="280"/>
      <c r="E18" s="280">
        <f>Gia_Phanmem!E7</f>
        <v>5</v>
      </c>
      <c r="F18" s="1413">
        <f>Gia_Phanmem!$F$7</f>
        <v>147000000</v>
      </c>
      <c r="G18" s="1416">
        <f>Gia_Phanmem!G7</f>
        <v>58800</v>
      </c>
      <c r="H18" s="1440">
        <v>2.56</v>
      </c>
      <c r="I18" s="1836">
        <f t="shared" ref="I18" si="1">$G18*H18</f>
        <v>150528</v>
      </c>
    </row>
    <row r="19" spans="1:9" ht="15.75">
      <c r="A19" s="280"/>
      <c r="B19" s="281" t="s">
        <v>24</v>
      </c>
      <c r="C19" s="280" t="s">
        <v>130</v>
      </c>
      <c r="D19" s="280">
        <f>Gia_Tbi!$D$6</f>
        <v>2.2000000000000002</v>
      </c>
      <c r="E19" s="280">
        <v>8</v>
      </c>
      <c r="F19" s="1170">
        <f>Gia_Tbi!$F$6</f>
        <v>12000000</v>
      </c>
      <c r="G19" s="1171">
        <f>Gia_Tbi!$G$6</f>
        <v>3000</v>
      </c>
      <c r="H19" s="1440">
        <v>0.21</v>
      </c>
      <c r="I19" s="1836">
        <f>$G19*H19</f>
        <v>630</v>
      </c>
    </row>
    <row r="20" spans="1:9" ht="15.75">
      <c r="A20" s="280"/>
      <c r="B20" s="281" t="s">
        <v>8</v>
      </c>
      <c r="C20" s="280" t="s">
        <v>147</v>
      </c>
      <c r="D20" s="280"/>
      <c r="E20" s="555"/>
      <c r="F20" s="1170">
        <f>Gia_Tbi!$F$13</f>
        <v>1686</v>
      </c>
      <c r="G20" s="1171">
        <f>Gia_Tbi!$G$13</f>
        <v>13488</v>
      </c>
      <c r="H20" s="1440">
        <v>1.49</v>
      </c>
      <c r="I20" s="1836">
        <f>$G20*H20</f>
        <v>20097.12</v>
      </c>
    </row>
    <row r="21" spans="1:9" s="257" customFormat="1" ht="73.5" customHeight="1">
      <c r="A21" s="280" t="str">
        <f>'Nhân công Nen'!A8</f>
        <v>1.4</v>
      </c>
      <c r="B21" s="1168" t="str">
        <f>'Nhân công Nen'!B8</f>
        <v>Gộp các thành phần tiếp giáp nhau của cùng một đối tượng không gian đất đai nền thành một đối tượng duy nhất phù hợp với thông tin thuộc tính của đối tượng theo phạm vi đơn vị hành chính cấp xã</v>
      </c>
      <c r="C21" s="275"/>
      <c r="D21" s="275"/>
      <c r="E21" s="275"/>
      <c r="F21" s="553"/>
      <c r="G21" s="553"/>
      <c r="H21" s="1441"/>
      <c r="I21" s="1835">
        <f>SUM(I22:I24)</f>
        <v>484224</v>
      </c>
    </row>
    <row r="22" spans="1:9" ht="15.75">
      <c r="A22" s="280"/>
      <c r="B22" s="281" t="s">
        <v>73</v>
      </c>
      <c r="C22" s="280" t="s">
        <v>130</v>
      </c>
      <c r="D22" s="280">
        <f>Gia_Tbi!$D$4</f>
        <v>0.4</v>
      </c>
      <c r="E22" s="280">
        <v>5</v>
      </c>
      <c r="F22" s="1415">
        <f>Gia_Tbi!$F$4</f>
        <v>10000000</v>
      </c>
      <c r="G22" s="1416">
        <f>Gia_Tbi!$G$4</f>
        <v>4000</v>
      </c>
      <c r="H22" s="1440">
        <v>7.68</v>
      </c>
      <c r="I22" s="1836">
        <f>$G22*H22</f>
        <v>30720</v>
      </c>
    </row>
    <row r="23" spans="1:9" ht="15.75">
      <c r="A23" s="280"/>
      <c r="B23" s="281" t="str">
        <f>B18</f>
        <v xml:space="preserve">Phần mềm biên tập bản đồ </v>
      </c>
      <c r="C23" s="280" t="str">
        <f>C18</f>
        <v>Bộ</v>
      </c>
      <c r="D23" s="280"/>
      <c r="E23" s="280">
        <f>E18</f>
        <v>5</v>
      </c>
      <c r="F23" s="1413">
        <f>Gia_Phanmem!$F$7</f>
        <v>147000000</v>
      </c>
      <c r="G23" s="1416">
        <f>G18</f>
        <v>58800</v>
      </c>
      <c r="H23" s="1440">
        <v>7.68</v>
      </c>
      <c r="I23" s="1836">
        <f t="shared" ref="I23" si="2">$G23*H23</f>
        <v>451584</v>
      </c>
    </row>
    <row r="24" spans="1:9" ht="15.75">
      <c r="A24" s="280"/>
      <c r="B24" s="281" t="s">
        <v>24</v>
      </c>
      <c r="C24" s="280" t="s">
        <v>130</v>
      </c>
      <c r="D24" s="280">
        <f>Gia_Tbi!$D$6</f>
        <v>2.2000000000000002</v>
      </c>
      <c r="E24" s="280">
        <v>8</v>
      </c>
      <c r="F24" s="1170">
        <f>Gia_Tbi!$F$6</f>
        <v>12000000</v>
      </c>
      <c r="G24" s="1171">
        <f>Gia_Tbi!$G$6</f>
        <v>3000</v>
      </c>
      <c r="H24" s="1440">
        <v>0.64</v>
      </c>
      <c r="I24" s="1836">
        <f>$G24*H24</f>
        <v>1920</v>
      </c>
    </row>
    <row r="25" spans="1:9" ht="15.75">
      <c r="A25" s="280"/>
      <c r="B25" s="281" t="s">
        <v>8</v>
      </c>
      <c r="C25" s="280" t="s">
        <v>147</v>
      </c>
      <c r="D25" s="280"/>
      <c r="E25" s="555"/>
      <c r="F25" s="1170">
        <f>Gia_Tbi!$F$13</f>
        <v>1686</v>
      </c>
      <c r="G25" s="1171">
        <f>Gia_Tbi!$G$13</f>
        <v>13488</v>
      </c>
      <c r="H25" s="1440">
        <v>4.4800000000000004</v>
      </c>
      <c r="I25" s="1836">
        <f>$G25*H25</f>
        <v>60426.240000000005</v>
      </c>
    </row>
    <row r="26" spans="1:9" ht="15.75">
      <c r="A26" s="1435">
        <f>'Nhân công Nen'!A9</f>
        <v>2</v>
      </c>
      <c r="B26" s="1439" t="str">
        <f>'Nhân công Nen'!B9</f>
        <v xml:space="preserve">Tích hợp dữ liệu không gian đất đai nền </v>
      </c>
      <c r="C26" s="280"/>
      <c r="D26" s="280"/>
      <c r="E26" s="555"/>
      <c r="F26" s="1170"/>
      <c r="G26" s="1171"/>
      <c r="H26" s="1440"/>
      <c r="I26" s="1836"/>
    </row>
    <row r="27" spans="1:9" s="257" customFormat="1" ht="45.75" customHeight="1">
      <c r="A27" s="280" t="str">
        <f>'Nhân công Nen'!A10</f>
        <v>2.1</v>
      </c>
      <c r="B27" s="1168" t="str">
        <f>'Nhân công Nen'!B10</f>
        <v>Xử lý tiếp biên dữ liệu không gian đất đai nền giữa các đơn vị hành chính cấp xã, cấp huyện liền kề</v>
      </c>
      <c r="C27" s="275"/>
      <c r="D27" s="275"/>
      <c r="E27" s="275"/>
      <c r="F27" s="553"/>
      <c r="G27" s="553"/>
      <c r="H27" s="1441"/>
      <c r="I27" s="1835">
        <f>SUM(I28:I30)</f>
        <v>605280</v>
      </c>
    </row>
    <row r="28" spans="1:9" ht="15.75">
      <c r="A28" s="280"/>
      <c r="B28" s="281" t="s">
        <v>73</v>
      </c>
      <c r="C28" s="280" t="s">
        <v>130</v>
      </c>
      <c r="D28" s="280">
        <f>Gia_Tbi!$D$4</f>
        <v>0.4</v>
      </c>
      <c r="E28" s="280">
        <v>5</v>
      </c>
      <c r="F28" s="1415">
        <f>Gia_Tbi!$F$4</f>
        <v>10000000</v>
      </c>
      <c r="G28" s="1416">
        <f>Gia_Tbi!$G$4</f>
        <v>4000</v>
      </c>
      <c r="H28" s="1440">
        <v>9.6</v>
      </c>
      <c r="I28" s="1836">
        <f>$G28*H28</f>
        <v>38400</v>
      </c>
    </row>
    <row r="29" spans="1:9" ht="15.75">
      <c r="A29" s="280"/>
      <c r="B29" s="281" t="str">
        <f>B23</f>
        <v xml:space="preserve">Phần mềm biên tập bản đồ </v>
      </c>
      <c r="C29" s="280" t="str">
        <f>C23</f>
        <v>Bộ</v>
      </c>
      <c r="D29" s="280"/>
      <c r="E29" s="280">
        <f>E23</f>
        <v>5</v>
      </c>
      <c r="F29" s="1413">
        <f>Gia_Phanmem!$F$7</f>
        <v>147000000</v>
      </c>
      <c r="G29" s="1416">
        <f>G23</f>
        <v>58800</v>
      </c>
      <c r="H29" s="1440">
        <v>9.6</v>
      </c>
      <c r="I29" s="1836">
        <f t="shared" ref="I29" si="3">$G29*H29</f>
        <v>564480</v>
      </c>
    </row>
    <row r="30" spans="1:9" ht="15.75">
      <c r="A30" s="280"/>
      <c r="B30" s="281" t="s">
        <v>24</v>
      </c>
      <c r="C30" s="280" t="s">
        <v>130</v>
      </c>
      <c r="D30" s="280">
        <f>Gia_Tbi!$D$6</f>
        <v>2.2000000000000002</v>
      </c>
      <c r="E30" s="280">
        <v>8</v>
      </c>
      <c r="F30" s="1415">
        <f>Gia_Tbi!$F$6</f>
        <v>12000000</v>
      </c>
      <c r="G30" s="1416">
        <f>Gia_Tbi!$G$6</f>
        <v>3000</v>
      </c>
      <c r="H30" s="1440">
        <v>0.8</v>
      </c>
      <c r="I30" s="1836">
        <f>$G30*H30</f>
        <v>2400</v>
      </c>
    </row>
    <row r="31" spans="1:9" ht="15.75">
      <c r="A31" s="280"/>
      <c r="B31" s="281" t="s">
        <v>8</v>
      </c>
      <c r="C31" s="280" t="s">
        <v>147</v>
      </c>
      <c r="D31" s="280"/>
      <c r="E31" s="555"/>
      <c r="F31" s="1170">
        <f>Gia_Tbi!$F$13</f>
        <v>1686</v>
      </c>
      <c r="G31" s="1171">
        <f>Gia_Tbi!$G$13</f>
        <v>13488</v>
      </c>
      <c r="H31" s="1440">
        <v>5.6</v>
      </c>
      <c r="I31" s="1836">
        <f>$G31*H31</f>
        <v>75532.799999999988</v>
      </c>
    </row>
    <row r="32" spans="1:9" s="257" customFormat="1" ht="31.5">
      <c r="A32" s="280" t="str">
        <f>'Nhân công Nen'!A11</f>
        <v>2.2</v>
      </c>
      <c r="B32" s="1168" t="str">
        <f>'Nhân công Nen'!B11</f>
        <v>Tích hợp dữ liệu không gian đất đai nền vào CSDL đất đai để quản lý, vận hành, khai thác sử dụng</v>
      </c>
      <c r="C32" s="275"/>
      <c r="D32" s="275"/>
      <c r="E32" s="275"/>
      <c r="F32" s="553"/>
      <c r="G32" s="553"/>
      <c r="H32" s="1441"/>
      <c r="I32" s="1835">
        <f>SUM(I33:I37)</f>
        <v>339590</v>
      </c>
    </row>
    <row r="33" spans="1:9" ht="15.75">
      <c r="A33" s="280"/>
      <c r="B33" s="281" t="s">
        <v>73</v>
      </c>
      <c r="C33" s="280" t="s">
        <v>130</v>
      </c>
      <c r="D33" s="280">
        <f>Gia_Tbi!$D$4</f>
        <v>0.4</v>
      </c>
      <c r="E33" s="280">
        <v>5</v>
      </c>
      <c r="F33" s="1415">
        <f>Gia_Tbi!$F$4</f>
        <v>10000000</v>
      </c>
      <c r="G33" s="1416">
        <f>Gia_Tbi!$G$4</f>
        <v>4000</v>
      </c>
      <c r="H33" s="1440">
        <v>4</v>
      </c>
      <c r="I33" s="1836">
        <f>$G33*H33</f>
        <v>16000</v>
      </c>
    </row>
    <row r="34" spans="1:9" ht="15.75">
      <c r="A34" s="280"/>
      <c r="B34" s="281" t="str">
        <f>B29</f>
        <v xml:space="preserve">Phần mềm biên tập bản đồ </v>
      </c>
      <c r="C34" s="280" t="str">
        <f t="shared" ref="C34:G34" si="4">C29</f>
        <v>Bộ</v>
      </c>
      <c r="D34" s="280"/>
      <c r="E34" s="280">
        <f t="shared" si="4"/>
        <v>5</v>
      </c>
      <c r="F34" s="1413">
        <f>Gia_Phanmem!$F$7</f>
        <v>147000000</v>
      </c>
      <c r="G34" s="1416">
        <f t="shared" si="4"/>
        <v>58800</v>
      </c>
      <c r="H34" s="1440">
        <v>4</v>
      </c>
      <c r="I34" s="1836">
        <f t="shared" ref="I34:I36" si="5">$G34*H34</f>
        <v>235200</v>
      </c>
    </row>
    <row r="35" spans="1:9" ht="15.75">
      <c r="A35" s="280"/>
      <c r="B35" s="281" t="str">
        <f>Gia_Tbi!B10</f>
        <v>Máy chủ</v>
      </c>
      <c r="C35" s="280" t="str">
        <f>Gia_Tbi!C10</f>
        <v>Cái</v>
      </c>
      <c r="D35" s="280">
        <f>Gia_Tbi!D10</f>
        <v>1</v>
      </c>
      <c r="E35" s="280">
        <f>Gia_Tbi!E10</f>
        <v>10</v>
      </c>
      <c r="F35" s="1413">
        <f>Gia_Tbi!$F$10</f>
        <v>80000000</v>
      </c>
      <c r="G35" s="1416">
        <f>Gia_Tbi!G10</f>
        <v>16000</v>
      </c>
      <c r="H35" s="1440">
        <v>1</v>
      </c>
      <c r="I35" s="1836">
        <f t="shared" si="5"/>
        <v>16000</v>
      </c>
    </row>
    <row r="36" spans="1:9" ht="15.75">
      <c r="A36" s="280"/>
      <c r="B36" s="281" t="str">
        <f>Gia_Phanmem!B6</f>
        <v>Hệ quản trị dữ liệu không gian</v>
      </c>
      <c r="C36" s="280" t="str">
        <f>Gia_Phanmem!C6</f>
        <v>Bộ</v>
      </c>
      <c r="D36" s="280"/>
      <c r="E36" s="280">
        <f>Gia_Phanmem!E6</f>
        <v>10</v>
      </c>
      <c r="F36" s="1413">
        <f>Gia_Phanmem!$F$6</f>
        <v>357000000</v>
      </c>
      <c r="G36" s="1416">
        <f>Gia_Phanmem!G6</f>
        <v>71400</v>
      </c>
      <c r="H36" s="1440">
        <v>1</v>
      </c>
      <c r="I36" s="1836">
        <f t="shared" si="5"/>
        <v>71400</v>
      </c>
    </row>
    <row r="37" spans="1:9" ht="15.75">
      <c r="A37" s="280"/>
      <c r="B37" s="281" t="s">
        <v>24</v>
      </c>
      <c r="C37" s="280" t="s">
        <v>130</v>
      </c>
      <c r="D37" s="280">
        <f>Gia_Tbi!$D$6</f>
        <v>2.2000000000000002</v>
      </c>
      <c r="E37" s="280">
        <v>8</v>
      </c>
      <c r="F37" s="1415">
        <f>Gia_Tbi!$F$6</f>
        <v>12000000</v>
      </c>
      <c r="G37" s="1416">
        <f>Gia_Tbi!$G$6</f>
        <v>3000</v>
      </c>
      <c r="H37" s="1440">
        <v>0.33</v>
      </c>
      <c r="I37" s="1836">
        <f>$G37*H37</f>
        <v>990</v>
      </c>
    </row>
    <row r="38" spans="1:9" ht="15.75">
      <c r="A38" s="280"/>
      <c r="B38" s="281" t="s">
        <v>8</v>
      </c>
      <c r="C38" s="280" t="s">
        <v>147</v>
      </c>
      <c r="D38" s="280"/>
      <c r="E38" s="555"/>
      <c r="F38" s="1170">
        <f>Gia_Tbi!$F$13</f>
        <v>1686</v>
      </c>
      <c r="G38" s="1171">
        <f>Gia_Tbi!$G$13</f>
        <v>13488</v>
      </c>
      <c r="H38" s="1440">
        <v>2.33</v>
      </c>
      <c r="I38" s="1836">
        <f>$G38*H38</f>
        <v>31427.040000000001</v>
      </c>
    </row>
  </sheetData>
  <mergeCells count="1">
    <mergeCell ref="A1:I1"/>
  </mergeCells>
  <pageMargins left="0.86811023600000004" right="0.118110236220472" top="0.94488188976377996" bottom="0.35433070866141703" header="0.31496062992126" footer="0.31496062992126"/>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3"/>
  <sheetViews>
    <sheetView zoomScaleNormal="100" workbookViewId="0">
      <selection activeCell="F13" sqref="F13"/>
    </sheetView>
  </sheetViews>
  <sheetFormatPr defaultColWidth="9" defaultRowHeight="15"/>
  <cols>
    <col min="1" max="1" width="3.75" style="1608" customWidth="1"/>
    <col min="2" max="2" width="27.875" style="1601" customWidth="1"/>
    <col min="3" max="3" width="6" style="1608" customWidth="1"/>
    <col min="4" max="4" width="7" style="1601" customWidth="1"/>
    <col min="5" max="5" width="11.125" style="1609" customWidth="1"/>
    <col min="6" max="6" width="9.375" style="1601" customWidth="1"/>
    <col min="7" max="7" width="7.5" style="1601" customWidth="1"/>
    <col min="8" max="8" width="10.875" style="1601" customWidth="1"/>
    <col min="9" max="16384" width="9" style="37"/>
  </cols>
  <sheetData>
    <row r="1" spans="1:8" s="12" customFormat="1" ht="25.5" customHeight="1">
      <c r="A1" s="1872" t="s">
        <v>1135</v>
      </c>
      <c r="B1" s="1872"/>
      <c r="C1" s="1872"/>
      <c r="D1" s="1872"/>
      <c r="E1" s="1872"/>
      <c r="F1" s="1872"/>
      <c r="G1" s="1872"/>
      <c r="H1" s="1872"/>
    </row>
    <row r="2" spans="1:8" s="12" customFormat="1" ht="15.75">
      <c r="A2" s="929"/>
      <c r="B2" s="488"/>
      <c r="C2" s="929"/>
      <c r="D2" s="488"/>
      <c r="E2" s="488"/>
      <c r="F2" s="930"/>
      <c r="G2" s="1596" t="s">
        <v>70</v>
      </c>
      <c r="H2" s="1597" t="s">
        <v>69</v>
      </c>
    </row>
    <row r="3" spans="1:8" s="13" customFormat="1" ht="78.75" customHeight="1">
      <c r="A3" s="1873" t="s">
        <v>14</v>
      </c>
      <c r="B3" s="1873" t="s">
        <v>2</v>
      </c>
      <c r="C3" s="1873" t="s">
        <v>20</v>
      </c>
      <c r="D3" s="1594" t="s">
        <v>98</v>
      </c>
      <c r="E3" s="1594" t="s">
        <v>18</v>
      </c>
      <c r="F3" s="1610" t="s">
        <v>100</v>
      </c>
      <c r="G3" s="308" t="s">
        <v>1097</v>
      </c>
      <c r="H3" s="308" t="s">
        <v>72</v>
      </c>
    </row>
    <row r="4" spans="1:8" s="13" customFormat="1" ht="15.75">
      <c r="A4" s="1873"/>
      <c r="B4" s="1873"/>
      <c r="C4" s="1873"/>
      <c r="D4" s="1594" t="s">
        <v>99</v>
      </c>
      <c r="E4" s="1594" t="s">
        <v>101</v>
      </c>
      <c r="F4" s="1610" t="s">
        <v>102</v>
      </c>
      <c r="G4" s="373">
        <v>8</v>
      </c>
      <c r="H4" s="1611">
        <f>SUM(H5:H11)*1.05</f>
        <v>133459.32285</v>
      </c>
    </row>
    <row r="5" spans="1:8" s="19" customFormat="1" ht="15.75">
      <c r="A5" s="1612">
        <v>1</v>
      </c>
      <c r="B5" s="1613" t="s">
        <v>52</v>
      </c>
      <c r="C5" s="316" t="str">
        <f>Gia_Dcu!C6</f>
        <v>Cái</v>
      </c>
      <c r="D5" s="316">
        <f>Gia_Dcu!D6</f>
        <v>24</v>
      </c>
      <c r="E5" s="1614">
        <f>Gia_Dcu!$E$6</f>
        <v>13500</v>
      </c>
      <c r="F5" s="1615">
        <f>Gia_Dcu!F6</f>
        <v>21.634615384615383</v>
      </c>
      <c r="G5" s="1616">
        <v>9.36</v>
      </c>
      <c r="H5" s="1617">
        <f t="shared" ref="H5:H10" si="0">$F5*G5</f>
        <v>202.49999999999997</v>
      </c>
    </row>
    <row r="6" spans="1:8" s="19" customFormat="1" ht="15.75">
      <c r="A6" s="1612">
        <v>2</v>
      </c>
      <c r="B6" s="1613" t="s">
        <v>53</v>
      </c>
      <c r="C6" s="316" t="str">
        <f>Gia_Dcu!C7</f>
        <v>Cái</v>
      </c>
      <c r="D6" s="316">
        <f>Gia_Dcu!D7</f>
        <v>60</v>
      </c>
      <c r="E6" s="1614">
        <f>Gia_Dcu!$E$7</f>
        <v>1500000</v>
      </c>
      <c r="F6" s="1615">
        <f>Gia_Dcu!F7</f>
        <v>961.53846153846155</v>
      </c>
      <c r="G6" s="1616">
        <v>15.6</v>
      </c>
      <c r="H6" s="1617">
        <f t="shared" si="0"/>
        <v>15000</v>
      </c>
    </row>
    <row r="7" spans="1:8" s="19" customFormat="1" ht="15.75">
      <c r="A7" s="1612">
        <v>3</v>
      </c>
      <c r="B7" s="1613" t="s">
        <v>54</v>
      </c>
      <c r="C7" s="316" t="str">
        <f>Gia_Dcu!C8</f>
        <v>Cái</v>
      </c>
      <c r="D7" s="316">
        <f>Gia_Dcu!D8</f>
        <v>96</v>
      </c>
      <c r="E7" s="1614">
        <f>Gia_Dcu!$E$8</f>
        <v>360000</v>
      </c>
      <c r="F7" s="1615">
        <f>Gia_Dcu!F8</f>
        <v>144.23076923076923</v>
      </c>
      <c r="G7" s="1616">
        <v>46.8</v>
      </c>
      <c r="H7" s="1617">
        <f t="shared" si="0"/>
        <v>6749.9999999999991</v>
      </c>
    </row>
    <row r="8" spans="1:8" s="19" customFormat="1" ht="15.75">
      <c r="A8" s="1612">
        <v>4</v>
      </c>
      <c r="B8" s="1613" t="s">
        <v>27</v>
      </c>
      <c r="C8" s="316" t="str">
        <f>Gia_Dcu!C9</f>
        <v>Cái</v>
      </c>
      <c r="D8" s="316">
        <f>Gia_Dcu!D9</f>
        <v>96</v>
      </c>
      <c r="E8" s="1614">
        <f>Gia_Dcu!$E$9</f>
        <v>754000</v>
      </c>
      <c r="F8" s="1615">
        <f>Gia_Dcu!F9</f>
        <v>302.08333333333337</v>
      </c>
      <c r="G8" s="1616">
        <v>46.8</v>
      </c>
      <c r="H8" s="1617">
        <f t="shared" si="0"/>
        <v>14137.500000000002</v>
      </c>
    </row>
    <row r="9" spans="1:8" s="19" customFormat="1" ht="15.75">
      <c r="A9" s="1612">
        <v>5</v>
      </c>
      <c r="B9" s="1613" t="s">
        <v>55</v>
      </c>
      <c r="C9" s="316" t="str">
        <f>Gia_Dcu!C10</f>
        <v>Cái</v>
      </c>
      <c r="D9" s="316">
        <f>Gia_Dcu!D10</f>
        <v>96</v>
      </c>
      <c r="E9" s="1614">
        <f>Gia_Dcu!$E$10</f>
        <v>870000</v>
      </c>
      <c r="F9" s="1615">
        <f>Gia_Dcu!F10</f>
        <v>348.55769230769232</v>
      </c>
      <c r="G9" s="1616">
        <v>11.7</v>
      </c>
      <c r="H9" s="1617">
        <f t="shared" si="0"/>
        <v>4078.125</v>
      </c>
    </row>
    <row r="10" spans="1:8" s="19" customFormat="1" ht="15.75">
      <c r="A10" s="1612">
        <v>6</v>
      </c>
      <c r="B10" s="1613" t="s">
        <v>56</v>
      </c>
      <c r="C10" s="316" t="str">
        <f>Gia_Dcu!C11</f>
        <v>Cái</v>
      </c>
      <c r="D10" s="316">
        <f>Gia_Dcu!D11</f>
        <v>24</v>
      </c>
      <c r="E10" s="1614">
        <f>Gia_Dcu!$E$11</f>
        <v>65000</v>
      </c>
      <c r="F10" s="1615">
        <f>Gia_Dcu!F11</f>
        <v>104.16666666666667</v>
      </c>
      <c r="G10" s="1616">
        <v>46.8</v>
      </c>
      <c r="H10" s="1617">
        <f t="shared" si="0"/>
        <v>4875</v>
      </c>
    </row>
    <row r="11" spans="1:8" s="19" customFormat="1" ht="15.75">
      <c r="A11" s="1612">
        <v>7</v>
      </c>
      <c r="B11" s="1613" t="s">
        <v>58</v>
      </c>
      <c r="C11" s="316" t="s">
        <v>147</v>
      </c>
      <c r="D11" s="1618">
        <v>1</v>
      </c>
      <c r="E11" s="1614">
        <f>Gia_Dcu!$E$12</f>
        <v>1686</v>
      </c>
      <c r="F11" s="1615">
        <f>Gia_Dcu!F12</f>
        <v>13488</v>
      </c>
      <c r="G11" s="1616">
        <v>6.0839999999999996</v>
      </c>
      <c r="H11" s="1619">
        <f>$F11*G11*D11</f>
        <v>82060.991999999998</v>
      </c>
    </row>
    <row r="13" spans="1:8" s="12" customFormat="1" ht="31.5">
      <c r="A13" s="1594" t="s">
        <v>14</v>
      </c>
      <c r="B13" s="1594" t="s">
        <v>109</v>
      </c>
      <c r="C13" s="1594" t="s">
        <v>20</v>
      </c>
      <c r="D13" s="1594" t="s">
        <v>28</v>
      </c>
      <c r="E13" s="1594" t="s">
        <v>19</v>
      </c>
      <c r="F13" s="963"/>
      <c r="G13" s="963"/>
      <c r="H13" s="963"/>
    </row>
    <row r="14" spans="1:8" ht="31.5">
      <c r="A14" s="1599"/>
      <c r="B14" s="1138" t="str">
        <f>'Nhân công Nen'!B3</f>
        <v xml:space="preserve"> Xây dựng dữ liệu không gian đất đai nền</v>
      </c>
      <c r="C14" s="312"/>
      <c r="D14" s="1600"/>
      <c r="E14" s="917"/>
    </row>
    <row r="15" spans="1:8" ht="31.5">
      <c r="A15" s="1602">
        <f>'Nhân công Nen'!A4</f>
        <v>1</v>
      </c>
      <c r="B15" s="1136" t="str">
        <f>'Nhân công Nen'!B4</f>
        <v xml:space="preserve"> Xây dựng dữ liệu không gian đất đai nền</v>
      </c>
      <c r="C15" s="309"/>
      <c r="D15" s="944"/>
      <c r="E15" s="918"/>
    </row>
    <row r="16" spans="1:8" ht="47.25">
      <c r="A16" s="1602" t="str">
        <f>'Nhân công Nen'!A5</f>
        <v>1.1</v>
      </c>
      <c r="B16" s="1136" t="str">
        <f>'Nhân công Nen'!B5</f>
        <v>Xử lý biên theo quy định về bản đồ đối với các tài liệu bản đồ tiếp giáp nhau</v>
      </c>
      <c r="C16" s="309" t="str">
        <f>'Nhân công Nen'!C5</f>
        <v>Xã</v>
      </c>
      <c r="D16" s="1603">
        <v>0.10680000000000001</v>
      </c>
      <c r="E16" s="1604">
        <f>D16*$H$4</f>
        <v>14253.455680380001</v>
      </c>
      <c r="G16" s="1791"/>
    </row>
    <row r="17" spans="1:5" ht="31.5">
      <c r="A17" s="1602" t="str">
        <f>'Nhân công Nen'!A6</f>
        <v>1.2</v>
      </c>
      <c r="B17" s="1136" t="str">
        <f>'Nhân công Nen'!B6</f>
        <v>Tách, lọc và chuẩn hóa các lớp đối tượng không gian đất đai nền</v>
      </c>
      <c r="C17" s="309" t="str">
        <f>'Nhân công Nen'!C6</f>
        <v>Xã</v>
      </c>
      <c r="D17" s="1603">
        <v>0.25640000000000002</v>
      </c>
      <c r="E17" s="1604">
        <f>D17*$H$4</f>
        <v>34218.970378739999</v>
      </c>
    </row>
    <row r="18" spans="1:5" ht="47.25">
      <c r="A18" s="1602" t="str">
        <f>'Nhân công Nen'!A7</f>
        <v>1.3</v>
      </c>
      <c r="B18" s="1136" t="str">
        <f>'Nhân công Nen'!B7</f>
        <v>Chuyển đổi các lớp đối tượng không gian đất đai nền từ tệp (File) bản đồ số vào CSDL</v>
      </c>
      <c r="C18" s="309" t="str">
        <f>'Nhân công Nen'!C7</f>
        <v>Xã</v>
      </c>
      <c r="D18" s="1603">
        <v>6.8400000000000002E-2</v>
      </c>
      <c r="E18" s="1604">
        <f>D18*$H$4</f>
        <v>9128.6176829399992</v>
      </c>
    </row>
    <row r="19" spans="1:5" ht="94.5">
      <c r="A19" s="1602" t="str">
        <f>'Nhân công Nen'!A8</f>
        <v>1.4</v>
      </c>
      <c r="B19" s="1136" t="str">
        <f>'Nhân công Nen'!B8</f>
        <v>Gộp các thành phần tiếp giáp nhau của cùng một đối tượng không gian đất đai nền thành một đối tượng duy nhất phù hợp với thông tin thuộc tính của đối tượng theo phạm vi đơn vị hành chính cấp xã</v>
      </c>
      <c r="C19" s="309" t="str">
        <f>'Nhân công Nen'!C8</f>
        <v>Xã</v>
      </c>
      <c r="D19" s="1603">
        <v>0.20519999999999999</v>
      </c>
      <c r="E19" s="1604">
        <f>D19*$H$4</f>
        <v>27385.853048819998</v>
      </c>
    </row>
    <row r="20" spans="1:5" ht="31.5">
      <c r="A20" s="1599">
        <f>'Nhân công Nen'!A9</f>
        <v>2</v>
      </c>
      <c r="B20" s="1138" t="str">
        <f>'Nhân công Nen'!B9</f>
        <v xml:space="preserve">Tích hợp dữ liệu không gian đất đai nền </v>
      </c>
      <c r="C20" s="309"/>
      <c r="D20" s="1605"/>
      <c r="E20" s="1604"/>
    </row>
    <row r="21" spans="1:5" ht="47.25">
      <c r="A21" s="1602" t="str">
        <f>'Nhân công Nen'!A10</f>
        <v>2.1</v>
      </c>
      <c r="B21" s="1136" t="str">
        <f>'Nhân công Nen'!B10</f>
        <v>Xử lý tiếp biên dữ liệu không gian đất đai nền giữa các đơn vị hành chính cấp xã, cấp huyện liền kề</v>
      </c>
      <c r="C21" s="309" t="str">
        <f>'Nhân công Nen'!C10</f>
        <v>Xã</v>
      </c>
      <c r="D21" s="1603">
        <v>0.25640000000000002</v>
      </c>
      <c r="E21" s="1604">
        <f>D21*$H$4</f>
        <v>34218.970378739999</v>
      </c>
    </row>
    <row r="22" spans="1:5" ht="63">
      <c r="A22" s="1602" t="str">
        <f>'Nhân công Nen'!A11</f>
        <v>2.2</v>
      </c>
      <c r="B22" s="1136" t="str">
        <f>'Nhân công Nen'!B11</f>
        <v>Tích hợp dữ liệu không gian đất đai nền vào CSDL đất đai để quản lý, vận hành, khai thác sử dụng</v>
      </c>
      <c r="C22" s="309" t="str">
        <f>'Nhân công Nen'!C11</f>
        <v>Xã</v>
      </c>
      <c r="D22" s="1603">
        <v>0.10680000000000001</v>
      </c>
      <c r="E22" s="1604">
        <f>D22*$H$4</f>
        <v>14253.455680380001</v>
      </c>
    </row>
    <row r="23" spans="1:5">
      <c r="A23" s="986"/>
      <c r="B23" s="963"/>
      <c r="C23" s="986"/>
      <c r="D23" s="1606"/>
      <c r="E23" s="1607"/>
    </row>
  </sheetData>
  <mergeCells count="4">
    <mergeCell ref="A3:A4"/>
    <mergeCell ref="B3:B4"/>
    <mergeCell ref="C3:C4"/>
    <mergeCell ref="A1:H1"/>
  </mergeCells>
  <printOptions horizontalCentered="1"/>
  <pageMargins left="0.90551181102362199" right="0.118110236220472" top="0.36811023599999998" bottom="0.118110236220472" header="0.118110236220472" footer="3.9370078740157501E-2"/>
  <pageSetup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zoomScale="85" zoomScaleNormal="85" workbookViewId="0">
      <selection activeCell="E11" sqref="E11"/>
    </sheetView>
  </sheetViews>
  <sheetFormatPr defaultColWidth="9" defaultRowHeight="15"/>
  <cols>
    <col min="1" max="1" width="5.75" style="986" customWidth="1"/>
    <col min="2" max="2" width="35.375" style="963" customWidth="1"/>
    <col min="3" max="3" width="7.75" style="986" customWidth="1"/>
    <col min="4" max="4" width="12" style="963" customWidth="1"/>
    <col min="5" max="5" width="10.75" style="963" customWidth="1"/>
    <col min="6" max="6" width="13.25" style="1772" customWidth="1"/>
    <col min="7" max="8" width="9" style="963"/>
    <col min="9" max="9" width="16.5" style="963" customWidth="1"/>
    <col min="10" max="16384" width="9" style="963"/>
  </cols>
  <sheetData>
    <row r="1" spans="1:6" ht="15.75">
      <c r="A1" s="1872" t="s">
        <v>1126</v>
      </c>
      <c r="B1" s="1872"/>
      <c r="C1" s="1872"/>
      <c r="D1" s="1872"/>
      <c r="E1" s="1872"/>
      <c r="F1" s="1872"/>
    </row>
    <row r="2" spans="1:6" ht="15.75">
      <c r="A2" s="929"/>
      <c r="B2" s="488"/>
      <c r="C2" s="929"/>
      <c r="D2" s="488"/>
      <c r="E2" s="965" t="s">
        <v>70</v>
      </c>
      <c r="F2" s="966" t="s">
        <v>69</v>
      </c>
    </row>
    <row r="3" spans="1:6" s="967" customFormat="1" ht="47.25">
      <c r="A3" s="1873" t="s">
        <v>14</v>
      </c>
      <c r="B3" s="1873" t="s">
        <v>3</v>
      </c>
      <c r="C3" s="1873" t="s">
        <v>20</v>
      </c>
      <c r="D3" s="358" t="s">
        <v>18</v>
      </c>
      <c r="E3" s="359" t="s">
        <v>994</v>
      </c>
      <c r="F3" s="1289" t="s">
        <v>19</v>
      </c>
    </row>
    <row r="4" spans="1:6" s="967" customFormat="1" ht="15.75">
      <c r="A4" s="1873"/>
      <c r="B4" s="1873"/>
      <c r="C4" s="1873"/>
      <c r="D4" s="1594" t="s">
        <v>101</v>
      </c>
      <c r="E4" s="1594"/>
      <c r="F4" s="1289" t="s">
        <v>163</v>
      </c>
    </row>
    <row r="5" spans="1:6" s="969" customFormat="1" ht="15.75">
      <c r="A5" s="968">
        <v>1</v>
      </c>
      <c r="B5" s="362"/>
      <c r="C5" s="80"/>
      <c r="D5" s="363"/>
      <c r="E5" s="364"/>
      <c r="F5" s="1509">
        <f>SUM(F6:F13)*108%</f>
        <v>1789560.0000000002</v>
      </c>
    </row>
    <row r="6" spans="1:6" ht="15.75">
      <c r="A6" s="316">
        <v>1</v>
      </c>
      <c r="B6" s="366" t="s">
        <v>77</v>
      </c>
      <c r="C6" s="971" t="s">
        <v>171</v>
      </c>
      <c r="D6" s="972">
        <f>Gia_VLieu!$D$4</f>
        <v>45000</v>
      </c>
      <c r="E6" s="1771">
        <v>2</v>
      </c>
      <c r="F6" s="972">
        <f>D6*E6</f>
        <v>90000</v>
      </c>
    </row>
    <row r="7" spans="1:6" s="1796" customFormat="1" ht="15.75">
      <c r="A7" s="1199">
        <v>2</v>
      </c>
      <c r="B7" s="1792" t="s">
        <v>78</v>
      </c>
      <c r="C7" s="1793" t="s">
        <v>172</v>
      </c>
      <c r="D7" s="1794">
        <f>Gia_VLieu!$D$5</f>
        <v>1450000</v>
      </c>
      <c r="E7" s="1795">
        <v>1</v>
      </c>
      <c r="F7" s="1794">
        <f>D7*E7</f>
        <v>1450000</v>
      </c>
    </row>
    <row r="8" spans="1:6" ht="15.75">
      <c r="A8" s="316">
        <v>3</v>
      </c>
      <c r="B8" s="366" t="s">
        <v>80</v>
      </c>
      <c r="C8" s="971" t="s">
        <v>173</v>
      </c>
      <c r="D8" s="972">
        <f>Gia_VLieu!$D$7</f>
        <v>10000</v>
      </c>
      <c r="E8" s="1771">
        <v>2</v>
      </c>
      <c r="F8" s="972">
        <f>D8*E8</f>
        <v>20000</v>
      </c>
    </row>
    <row r="9" spans="1:6" ht="15.75">
      <c r="A9" s="316">
        <v>4</v>
      </c>
      <c r="B9" s="366" t="s">
        <v>21</v>
      </c>
      <c r="C9" s="971" t="s">
        <v>130</v>
      </c>
      <c r="D9" s="972">
        <f>Gia_VLieu!$D$8</f>
        <v>2000</v>
      </c>
      <c r="E9" s="1771">
        <v>5</v>
      </c>
      <c r="F9" s="972">
        <f t="shared" ref="F9:F13" si="0">D9*E9</f>
        <v>10000</v>
      </c>
    </row>
    <row r="10" spans="1:6" ht="15.75">
      <c r="A10" s="316">
        <v>5</v>
      </c>
      <c r="B10" s="366" t="s">
        <v>83</v>
      </c>
      <c r="C10" s="971" t="s">
        <v>130</v>
      </c>
      <c r="D10" s="972">
        <f>Gia_VLieu!$D$10</f>
        <v>10000</v>
      </c>
      <c r="E10" s="1771">
        <v>5</v>
      </c>
      <c r="F10" s="972">
        <f t="shared" si="0"/>
        <v>50000</v>
      </c>
    </row>
    <row r="11" spans="1:6" ht="15.75">
      <c r="A11" s="316">
        <v>6</v>
      </c>
      <c r="B11" s="366" t="s">
        <v>84</v>
      </c>
      <c r="C11" s="971" t="s">
        <v>172</v>
      </c>
      <c r="D11" s="972">
        <f>Gia_VLieu!$D$11</f>
        <v>2500</v>
      </c>
      <c r="E11" s="1771">
        <v>2</v>
      </c>
      <c r="F11" s="972">
        <f t="shared" si="0"/>
        <v>5000</v>
      </c>
    </row>
    <row r="12" spans="1:6" ht="15.75">
      <c r="A12" s="316">
        <v>7</v>
      </c>
      <c r="B12" s="366" t="s">
        <v>85</v>
      </c>
      <c r="C12" s="971" t="s">
        <v>172</v>
      </c>
      <c r="D12" s="972">
        <f>Gia_VLieu!$D$12</f>
        <v>2000</v>
      </c>
      <c r="E12" s="1771">
        <v>1</v>
      </c>
      <c r="F12" s="972">
        <f t="shared" si="0"/>
        <v>2000</v>
      </c>
    </row>
    <row r="13" spans="1:6" ht="15.75">
      <c r="A13" s="316">
        <v>8</v>
      </c>
      <c r="B13" s="366" t="s">
        <v>87</v>
      </c>
      <c r="C13" s="971" t="s">
        <v>130</v>
      </c>
      <c r="D13" s="972">
        <f>Gia_VLieu!$D$14</f>
        <v>15000</v>
      </c>
      <c r="E13" s="1771">
        <v>2</v>
      </c>
      <c r="F13" s="972">
        <f t="shared" si="0"/>
        <v>30000</v>
      </c>
    </row>
    <row r="14" spans="1:6" ht="15.75" thickBot="1"/>
    <row r="15" spans="1:6" ht="15.75">
      <c r="A15" s="227" t="s">
        <v>14</v>
      </c>
      <c r="B15" s="227" t="s">
        <v>109</v>
      </c>
      <c r="C15" s="227" t="s">
        <v>20</v>
      </c>
      <c r="D15" s="228" t="s">
        <v>28</v>
      </c>
      <c r="E15" s="228" t="s">
        <v>19</v>
      </c>
    </row>
    <row r="16" spans="1:6" ht="31.5">
      <c r="A16" s="312"/>
      <c r="B16" s="1138" t="str">
        <f>'Nhân công Nen'!B3</f>
        <v xml:space="preserve"> Xây dựng dữ liệu không gian đất đai nền</v>
      </c>
      <c r="C16" s="1594"/>
      <c r="D16" s="910"/>
      <c r="E16" s="1765"/>
      <c r="F16" s="1773"/>
    </row>
    <row r="17" spans="1:9" ht="15.75">
      <c r="A17" s="309">
        <f>'Nhân công Nen'!A4</f>
        <v>1</v>
      </c>
      <c r="B17" s="1136" t="str">
        <f>'Nhân công Nen'!B4</f>
        <v xml:space="preserve"> Xây dựng dữ liệu không gian đất đai nền</v>
      </c>
      <c r="C17" s="316"/>
      <c r="D17" s="910"/>
      <c r="E17" s="1762"/>
      <c r="F17" s="1773"/>
    </row>
    <row r="18" spans="1:9" ht="31.5">
      <c r="A18" s="309" t="str">
        <f>'Nhân công Nen'!A5</f>
        <v>1.1</v>
      </c>
      <c r="B18" s="1136" t="str">
        <f>'Nhân công Nen'!B5</f>
        <v>Xử lý biên theo quy định về bản đồ đối với các tài liệu bản đồ tiếp giáp nhau</v>
      </c>
      <c r="C18" s="316" t="str">
        <f>'Nhân công Nen'!C5</f>
        <v>Xã</v>
      </c>
      <c r="D18" s="1603">
        <v>0.10680000000000001</v>
      </c>
      <c r="E18" s="658">
        <f>D18*$F$5</f>
        <v>191125.00800000003</v>
      </c>
      <c r="F18" s="1773"/>
    </row>
    <row r="19" spans="1:9" ht="31.5">
      <c r="A19" s="309" t="str">
        <f>'Nhân công Nen'!A6</f>
        <v>1.2</v>
      </c>
      <c r="B19" s="1136" t="str">
        <f>'Nhân công Nen'!B6</f>
        <v>Tách, lọc và chuẩn hóa các lớp đối tượng không gian đất đai nền</v>
      </c>
      <c r="C19" s="316" t="str">
        <f>'Nhân công Nen'!C6</f>
        <v>Xã</v>
      </c>
      <c r="D19" s="1603">
        <v>0.25640000000000002</v>
      </c>
      <c r="E19" s="658">
        <f t="shared" ref="E19:E24" si="1">D19*$F$5</f>
        <v>458843.18400000007</v>
      </c>
      <c r="F19" s="1773"/>
    </row>
    <row r="20" spans="1:9" s="1774" customFormat="1" ht="47.25">
      <c r="A20" s="309" t="str">
        <f>'Nhân công Nen'!A7</f>
        <v>1.3</v>
      </c>
      <c r="B20" s="1136" t="str">
        <f>'Nhân công Nen'!B7</f>
        <v>Chuyển đổi các lớp đối tượng không gian đất đai nền từ tệp (File) bản đồ số vào CSDL</v>
      </c>
      <c r="C20" s="316" t="str">
        <f>'Nhân công Nen'!C7</f>
        <v>Xã</v>
      </c>
      <c r="D20" s="1603">
        <v>6.8400000000000002E-2</v>
      </c>
      <c r="E20" s="658">
        <f t="shared" si="1"/>
        <v>122405.90400000002</v>
      </c>
      <c r="F20" s="1773"/>
    </row>
    <row r="21" spans="1:9" ht="78.75">
      <c r="A21" s="309" t="str">
        <f>'Nhân công Nen'!A8</f>
        <v>1.4</v>
      </c>
      <c r="B21" s="1136" t="str">
        <f>'Nhân công Nen'!B8</f>
        <v>Gộp các thành phần tiếp giáp nhau của cùng một đối tượng không gian đất đai nền thành một đối tượng duy nhất phù hợp với thông tin thuộc tính của đối tượng theo phạm vi đơn vị hành chính cấp xã</v>
      </c>
      <c r="C21" s="316" t="str">
        <f>'Nhân công Nen'!C8</f>
        <v>Xã</v>
      </c>
      <c r="D21" s="1603">
        <v>0.20519999999999999</v>
      </c>
      <c r="E21" s="658">
        <f t="shared" si="1"/>
        <v>367217.71200000006</v>
      </c>
      <c r="F21" s="1773"/>
    </row>
    <row r="22" spans="1:9" ht="15.75">
      <c r="A22" s="309">
        <f>'Nhân công Nen'!A9</f>
        <v>2</v>
      </c>
      <c r="B22" s="1136" t="str">
        <f>'Nhân công Nen'!B9</f>
        <v xml:space="preserve">Tích hợp dữ liệu không gian đất đai nền </v>
      </c>
      <c r="C22" s="316"/>
      <c r="D22" s="1605"/>
      <c r="E22" s="658"/>
      <c r="F22" s="1773"/>
    </row>
    <row r="23" spans="1:9" ht="47.25">
      <c r="A23" s="309" t="str">
        <f>'Nhân công Nen'!A10</f>
        <v>2.1</v>
      </c>
      <c r="B23" s="1136" t="str">
        <f>'Nhân công Nen'!B10</f>
        <v>Xử lý tiếp biên dữ liệu không gian đất đai nền giữa các đơn vị hành chính cấp xã, cấp huyện liền kề</v>
      </c>
      <c r="C23" s="316" t="str">
        <f>'Nhân công Nen'!C10</f>
        <v>Xã</v>
      </c>
      <c r="D23" s="1603">
        <v>0.25640000000000002</v>
      </c>
      <c r="E23" s="658">
        <f t="shared" si="1"/>
        <v>458843.18400000007</v>
      </c>
      <c r="F23" s="1773"/>
      <c r="I23" s="1768">
        <f>SUM(E18:E24)</f>
        <v>1789560.0000000005</v>
      </c>
    </row>
    <row r="24" spans="1:9" ht="47.25">
      <c r="A24" s="309" t="str">
        <f>'Nhân công Nen'!A11</f>
        <v>2.2</v>
      </c>
      <c r="B24" s="1136" t="str">
        <f>'Nhân công Nen'!B11</f>
        <v>Tích hợp dữ liệu không gian đất đai nền vào CSDL đất đai để quản lý, vận hành, khai thác sử dụng</v>
      </c>
      <c r="C24" s="316" t="str">
        <f>'Nhân công Nen'!C11</f>
        <v>Xã</v>
      </c>
      <c r="D24" s="1603">
        <v>0.10680000000000001</v>
      </c>
      <c r="E24" s="658">
        <f t="shared" si="1"/>
        <v>191125.00800000003</v>
      </c>
      <c r="F24" s="1773"/>
    </row>
    <row r="25" spans="1:9" s="990" customFormat="1">
      <c r="A25" s="986"/>
      <c r="B25" s="963"/>
      <c r="C25" s="986"/>
      <c r="D25" s="1763"/>
      <c r="E25" s="1768"/>
      <c r="F25" s="1772"/>
    </row>
    <row r="26" spans="1:9">
      <c r="E26" s="1768"/>
    </row>
    <row r="27" spans="1:9" s="990" customFormat="1">
      <c r="A27" s="986"/>
      <c r="B27" s="963"/>
      <c r="C27" s="986"/>
      <c r="D27" s="963"/>
      <c r="E27" s="1768"/>
      <c r="F27" s="1772"/>
    </row>
    <row r="28" spans="1:9" s="990" customFormat="1">
      <c r="A28" s="986"/>
      <c r="B28" s="963"/>
      <c r="C28" s="986"/>
      <c r="D28" s="963"/>
      <c r="E28" s="963"/>
      <c r="F28" s="1772"/>
    </row>
  </sheetData>
  <mergeCells count="4">
    <mergeCell ref="A1:F1"/>
    <mergeCell ref="A3:A4"/>
    <mergeCell ref="B3:B4"/>
    <mergeCell ref="C3:C4"/>
  </mergeCells>
  <pageMargins left="0.655511811" right="0.118110236220472" top="0.4" bottom="0.15748031496063" header="0.31496062992126" footer="0.118110236220472"/>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8"/>
  <sheetViews>
    <sheetView zoomScale="85" zoomScaleNormal="85" workbookViewId="0">
      <pane ySplit="2" topLeftCell="A3" activePane="bottomLeft" state="frozen"/>
      <selection activeCell="E6" sqref="E6"/>
      <selection pane="bottomLeft" activeCell="E4" sqref="E4"/>
    </sheetView>
  </sheetViews>
  <sheetFormatPr defaultColWidth="9" defaultRowHeight="15.75"/>
  <cols>
    <col min="1" max="1" width="5" style="233" customWidth="1"/>
    <col min="2" max="2" width="29" style="233" customWidth="1"/>
    <col min="3" max="3" width="10.375" style="233" customWidth="1"/>
    <col min="4" max="4" width="9.25" style="233" customWidth="1"/>
    <col min="5" max="5" width="10.375" style="234" customWidth="1"/>
    <col min="6" max="6" width="9.875" style="235" customWidth="1"/>
    <col min="7" max="7" width="10.125" style="1142" customWidth="1"/>
    <col min="8" max="8" width="33" style="300" hidden="1" customWidth="1"/>
    <col min="9" max="16384" width="9" style="233"/>
  </cols>
  <sheetData>
    <row r="1" spans="1:8" ht="41.25" customHeight="1">
      <c r="A1" s="1858" t="s">
        <v>1127</v>
      </c>
      <c r="B1" s="1858"/>
      <c r="C1" s="1858"/>
      <c r="D1" s="1858"/>
      <c r="E1" s="1858"/>
      <c r="F1" s="1858"/>
      <c r="G1" s="1858"/>
      <c r="H1" s="1858"/>
    </row>
    <row r="2" spans="1:8" ht="47.25">
      <c r="A2" s="1594" t="s">
        <v>14</v>
      </c>
      <c r="B2" s="1594" t="s">
        <v>109</v>
      </c>
      <c r="C2" s="1594" t="s">
        <v>20</v>
      </c>
      <c r="D2" s="1594" t="s">
        <v>7</v>
      </c>
      <c r="E2" s="308" t="s">
        <v>999</v>
      </c>
      <c r="F2" s="305" t="s">
        <v>1102</v>
      </c>
      <c r="G2" s="305" t="s">
        <v>19</v>
      </c>
      <c r="H2" s="314" t="s">
        <v>797</v>
      </c>
    </row>
    <row r="3" spans="1:8" ht="31.5">
      <c r="A3" s="312"/>
      <c r="B3" s="1138" t="s">
        <v>902</v>
      </c>
      <c r="C3" s="312"/>
      <c r="D3" s="1594"/>
      <c r="E3" s="1775"/>
      <c r="F3" s="811"/>
      <c r="G3" s="1144"/>
      <c r="H3" s="1136"/>
    </row>
    <row r="4" spans="1:8" ht="80.25" customHeight="1">
      <c r="A4" s="309">
        <v>1</v>
      </c>
      <c r="B4" s="1136" t="s">
        <v>903</v>
      </c>
      <c r="C4" s="312"/>
      <c r="D4" s="1594"/>
      <c r="E4" s="1775"/>
      <c r="F4" s="811"/>
      <c r="G4" s="1144"/>
      <c r="H4" s="1136"/>
    </row>
    <row r="5" spans="1:8">
      <c r="A5" s="309" t="s">
        <v>156</v>
      </c>
      <c r="B5" s="1136" t="s">
        <v>904</v>
      </c>
      <c r="C5" s="309" t="s">
        <v>151</v>
      </c>
      <c r="D5" s="316" t="s">
        <v>46</v>
      </c>
      <c r="E5" s="1776">
        <v>1.2E-2</v>
      </c>
      <c r="F5" s="809">
        <f>L_CBan!K36</f>
        <v>166759.65384615384</v>
      </c>
      <c r="G5" s="1141">
        <f>F5*E5</f>
        <v>2001.1158461538462</v>
      </c>
      <c r="H5" s="1263" t="s">
        <v>798</v>
      </c>
    </row>
    <row r="6" spans="1:8">
      <c r="A6" s="309" t="s">
        <v>157</v>
      </c>
      <c r="B6" s="1136" t="s">
        <v>905</v>
      </c>
      <c r="C6" s="309" t="s">
        <v>112</v>
      </c>
      <c r="D6" s="316" t="s">
        <v>46</v>
      </c>
      <c r="E6" s="1776">
        <v>8.0000000000000002E-3</v>
      </c>
      <c r="F6" s="809">
        <f>L_CBan!K36</f>
        <v>166759.65384615384</v>
      </c>
      <c r="G6" s="1141">
        <f t="shared" ref="G6" si="0">F6*E6</f>
        <v>1334.0772307692307</v>
      </c>
      <c r="H6" s="1263" t="s">
        <v>798</v>
      </c>
    </row>
    <row r="7" spans="1:8" ht="110.25">
      <c r="A7" s="309">
        <v>2</v>
      </c>
      <c r="B7" s="1136" t="s">
        <v>942</v>
      </c>
      <c r="C7" s="316" t="s">
        <v>153</v>
      </c>
      <c r="D7" s="316" t="s">
        <v>46</v>
      </c>
      <c r="E7" s="1776">
        <v>4.0000000000000001E-3</v>
      </c>
      <c r="F7" s="809">
        <f>L_CBan!K36</f>
        <v>166759.65384615384</v>
      </c>
      <c r="G7" s="1141">
        <f>F7*E7</f>
        <v>667.03861538461535</v>
      </c>
      <c r="H7" s="1136" t="s">
        <v>890</v>
      </c>
    </row>
    <row r="8" spans="1:8" ht="39.75" customHeight="1">
      <c r="A8" s="309">
        <v>3</v>
      </c>
      <c r="B8" s="1136" t="s">
        <v>1035</v>
      </c>
      <c r="C8" s="316" t="s">
        <v>1</v>
      </c>
      <c r="D8" s="316" t="s">
        <v>46</v>
      </c>
      <c r="E8" s="1776">
        <v>0.01</v>
      </c>
      <c r="F8" s="809">
        <f>L_CBan!K36</f>
        <v>166759.65384615384</v>
      </c>
      <c r="G8" s="1141">
        <f>F8*E8</f>
        <v>1667.5965384615386</v>
      </c>
      <c r="H8" s="1136" t="s">
        <v>909</v>
      </c>
    </row>
    <row r="10" spans="1:8" hidden="1">
      <c r="B10" s="1460" t="s">
        <v>1082</v>
      </c>
      <c r="C10" s="352"/>
      <c r="D10" s="352"/>
      <c r="H10" s="1253"/>
    </row>
    <row r="11" spans="1:8" hidden="1">
      <c r="B11" s="1483" t="s">
        <v>1084</v>
      </c>
      <c r="C11" s="1483" t="s">
        <v>1086</v>
      </c>
      <c r="D11" s="1483" t="s">
        <v>943</v>
      </c>
      <c r="E11" s="1485"/>
      <c r="H11" s="1253"/>
    </row>
    <row r="12" spans="1:8" hidden="1">
      <c r="B12" s="1483"/>
      <c r="C12" s="1483"/>
      <c r="D12" s="1483"/>
      <c r="E12" s="1484"/>
      <c r="H12" s="1253"/>
    </row>
    <row r="13" spans="1:8" hidden="1">
      <c r="B13" s="1404" t="s">
        <v>1083</v>
      </c>
      <c r="C13" s="1481" t="s">
        <v>151</v>
      </c>
      <c r="D13" s="1481">
        <v>2</v>
      </c>
    </row>
    <row r="14" spans="1:8" ht="47.25" hidden="1">
      <c r="B14" s="1404" t="s">
        <v>1085</v>
      </c>
      <c r="C14" s="1481" t="s">
        <v>112</v>
      </c>
      <c r="D14" s="1481">
        <v>3</v>
      </c>
      <c r="G14" s="1486"/>
    </row>
    <row r="15" spans="1:8" ht="78.75" hidden="1">
      <c r="B15" s="1404" t="s">
        <v>942</v>
      </c>
      <c r="C15" s="1482" t="s">
        <v>153</v>
      </c>
      <c r="D15" s="1481">
        <v>5</v>
      </c>
    </row>
    <row r="16" spans="1:8">
      <c r="B16" s="1455"/>
    </row>
    <row r="18" spans="7:7" hidden="1">
      <c r="G18" s="1142">
        <f>SUM(G5:G8)</f>
        <v>5669.8282307692307</v>
      </c>
    </row>
  </sheetData>
  <mergeCells count="1">
    <mergeCell ref="A1:H1"/>
  </mergeCells>
  <pageMargins left="0.734251969" right="0" top="0.5" bottom="0" header="0.31496062992126"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H26"/>
  <sheetViews>
    <sheetView workbookViewId="0">
      <selection activeCell="G14" sqref="G14"/>
    </sheetView>
  </sheetViews>
  <sheetFormatPr defaultColWidth="9" defaultRowHeight="15.75"/>
  <cols>
    <col min="1" max="1" width="6.75" style="3" customWidth="1"/>
    <col min="2" max="2" width="21.125" style="4" customWidth="1"/>
    <col min="3" max="3" width="7.375" style="3" customWidth="1"/>
    <col min="4" max="4" width="6.625" style="3" bestFit="1" customWidth="1"/>
    <col min="5" max="5" width="8.75" style="4" bestFit="1" customWidth="1"/>
    <col min="6" max="6" width="11.375" style="4" customWidth="1"/>
    <col min="7" max="7" width="9.375" style="3" customWidth="1"/>
    <col min="8" max="8" width="10" style="25" bestFit="1" customWidth="1"/>
    <col min="9" max="16384" width="9" style="4"/>
  </cols>
  <sheetData>
    <row r="1" spans="1:8">
      <c r="A1" s="1855" t="s">
        <v>1137</v>
      </c>
      <c r="B1" s="1855"/>
      <c r="C1" s="1855"/>
      <c r="D1" s="1855"/>
      <c r="E1" s="1855"/>
      <c r="F1" s="1855"/>
      <c r="G1" s="1855"/>
      <c r="H1" s="1855"/>
    </row>
    <row r="2" spans="1:8">
      <c r="A2" s="1632"/>
      <c r="B2" s="232"/>
      <c r="C2" s="1632"/>
      <c r="D2" s="1632"/>
      <c r="E2" s="232"/>
      <c r="F2" s="232"/>
      <c r="G2" s="1632"/>
      <c r="H2" s="47" t="s">
        <v>1132</v>
      </c>
    </row>
    <row r="3" spans="1:8" s="6" customFormat="1" ht="47.25">
      <c r="A3" s="1594" t="s">
        <v>14</v>
      </c>
      <c r="B3" s="1594" t="s">
        <v>16</v>
      </c>
      <c r="C3" s="1594" t="s">
        <v>20</v>
      </c>
      <c r="D3" s="1594" t="s">
        <v>4</v>
      </c>
      <c r="E3" s="1594" t="s">
        <v>5</v>
      </c>
      <c r="F3" s="1594" t="s">
        <v>18</v>
      </c>
      <c r="G3" s="1594" t="s">
        <v>0</v>
      </c>
      <c r="H3" s="373" t="s">
        <v>6</v>
      </c>
    </row>
    <row r="4" spans="1:8" s="5" customFormat="1">
      <c r="A4" s="8">
        <v>1</v>
      </c>
      <c r="B4" s="7" t="s">
        <v>73</v>
      </c>
      <c r="C4" s="8" t="s">
        <v>26</v>
      </c>
      <c r="D4" s="8">
        <v>0.4</v>
      </c>
      <c r="E4" s="8">
        <v>5</v>
      </c>
      <c r="F4" s="1658">
        <v>10000000</v>
      </c>
      <c r="G4" s="1659">
        <f t="shared" ref="G4:G12" si="0">F4/E4/500</f>
        <v>4000</v>
      </c>
      <c r="H4" s="497"/>
    </row>
    <row r="5" spans="1:8" s="5" customFormat="1">
      <c r="A5" s="8">
        <v>2</v>
      </c>
      <c r="B5" s="7" t="s">
        <v>601</v>
      </c>
      <c r="C5" s="8" t="s">
        <v>26</v>
      </c>
      <c r="D5" s="8">
        <v>0.6</v>
      </c>
      <c r="E5" s="8">
        <v>5</v>
      </c>
      <c r="F5" s="1658">
        <v>2500000</v>
      </c>
      <c r="G5" s="1659">
        <f t="shared" si="0"/>
        <v>1000</v>
      </c>
      <c r="H5" s="497"/>
    </row>
    <row r="6" spans="1:8" s="5" customFormat="1">
      <c r="A6" s="8">
        <v>3</v>
      </c>
      <c r="B6" s="7" t="s">
        <v>24</v>
      </c>
      <c r="C6" s="8" t="s">
        <v>26</v>
      </c>
      <c r="D6" s="8">
        <v>2.2000000000000002</v>
      </c>
      <c r="E6" s="8">
        <v>8</v>
      </c>
      <c r="F6" s="1658">
        <v>12000000</v>
      </c>
      <c r="G6" s="1659">
        <f t="shared" si="0"/>
        <v>3000</v>
      </c>
      <c r="H6" s="497"/>
    </row>
    <row r="7" spans="1:8" s="5" customFormat="1">
      <c r="A7" s="8">
        <v>4</v>
      </c>
      <c r="B7" s="7" t="s">
        <v>23</v>
      </c>
      <c r="C7" s="8" t="s">
        <v>26</v>
      </c>
      <c r="D7" s="8">
        <v>1.5</v>
      </c>
      <c r="E7" s="8">
        <v>8</v>
      </c>
      <c r="F7" s="1658">
        <v>44000000</v>
      </c>
      <c r="G7" s="1659">
        <f t="shared" si="0"/>
        <v>11000</v>
      </c>
      <c r="H7" s="497"/>
    </row>
    <row r="8" spans="1:8" s="5" customFormat="1">
      <c r="A8" s="8">
        <v>5</v>
      </c>
      <c r="B8" s="7" t="s">
        <v>160</v>
      </c>
      <c r="C8" s="8" t="s">
        <v>26</v>
      </c>
      <c r="D8" s="8">
        <v>0.6</v>
      </c>
      <c r="E8" s="8">
        <v>8</v>
      </c>
      <c r="F8" s="1658">
        <v>10000000</v>
      </c>
      <c r="G8" s="1659">
        <f t="shared" si="0"/>
        <v>2500</v>
      </c>
      <c r="H8" s="497"/>
    </row>
    <row r="9" spans="1:8" s="5" customFormat="1">
      <c r="A9" s="8">
        <v>6</v>
      </c>
      <c r="B9" s="7" t="s">
        <v>161</v>
      </c>
      <c r="C9" s="8" t="s">
        <v>26</v>
      </c>
      <c r="D9" s="8">
        <v>0.8</v>
      </c>
      <c r="E9" s="8">
        <v>8</v>
      </c>
      <c r="F9" s="1658">
        <v>45200000</v>
      </c>
      <c r="G9" s="1659">
        <f t="shared" si="0"/>
        <v>11300</v>
      </c>
      <c r="H9" s="497"/>
    </row>
    <row r="10" spans="1:8" s="5" customFormat="1">
      <c r="A10" s="8">
        <v>7</v>
      </c>
      <c r="B10" s="7" t="s">
        <v>1041</v>
      </c>
      <c r="C10" s="8" t="s">
        <v>130</v>
      </c>
      <c r="D10" s="8">
        <v>1</v>
      </c>
      <c r="E10" s="8">
        <v>10</v>
      </c>
      <c r="F10" s="1658">
        <v>80000000</v>
      </c>
      <c r="G10" s="1659">
        <f t="shared" si="0"/>
        <v>16000</v>
      </c>
      <c r="H10" s="497"/>
    </row>
    <row r="11" spans="1:8" s="5" customFormat="1">
      <c r="A11" s="8">
        <v>8</v>
      </c>
      <c r="B11" s="7" t="s">
        <v>162</v>
      </c>
      <c r="C11" s="8" t="s">
        <v>130</v>
      </c>
      <c r="D11" s="8">
        <v>0.4</v>
      </c>
      <c r="E11" s="8">
        <v>5</v>
      </c>
      <c r="F11" s="1658">
        <v>5000000</v>
      </c>
      <c r="G11" s="1659">
        <f t="shared" si="0"/>
        <v>2000</v>
      </c>
      <c r="H11" s="497"/>
    </row>
    <row r="12" spans="1:8" s="5" customFormat="1">
      <c r="A12" s="8">
        <v>9</v>
      </c>
      <c r="B12" s="7" t="s">
        <v>131</v>
      </c>
      <c r="C12" s="8" t="s">
        <v>132</v>
      </c>
      <c r="D12" s="8">
        <v>0.1</v>
      </c>
      <c r="E12" s="8">
        <v>5</v>
      </c>
      <c r="F12" s="1658">
        <v>2500000</v>
      </c>
      <c r="G12" s="1659">
        <f t="shared" si="0"/>
        <v>1000</v>
      </c>
      <c r="H12" s="497"/>
    </row>
    <row r="13" spans="1:8">
      <c r="A13" s="8">
        <v>10</v>
      </c>
      <c r="B13" s="7" t="s">
        <v>8</v>
      </c>
      <c r="C13" s="8" t="s">
        <v>97</v>
      </c>
      <c r="D13" s="8"/>
      <c r="E13" s="98">
        <v>1</v>
      </c>
      <c r="F13" s="1658">
        <v>1686</v>
      </c>
      <c r="G13" s="1659">
        <f>E13*F13*8</f>
        <v>13488</v>
      </c>
      <c r="H13" s="497"/>
    </row>
    <row r="14" spans="1:8">
      <c r="A14" s="59"/>
      <c r="B14" s="58"/>
      <c r="C14" s="59"/>
      <c r="D14" s="59"/>
      <c r="E14" s="59"/>
      <c r="F14" s="60"/>
      <c r="G14" s="85"/>
      <c r="H14" s="1660"/>
    </row>
    <row r="16" spans="1:8" hidden="1">
      <c r="B16" s="4" t="s">
        <v>955</v>
      </c>
    </row>
    <row r="17" spans="2:6" hidden="1">
      <c r="B17" s="4" t="s">
        <v>956</v>
      </c>
    </row>
    <row r="18" spans="2:6" hidden="1">
      <c r="B18" s="4" t="s">
        <v>957</v>
      </c>
    </row>
    <row r="19" spans="2:6" hidden="1">
      <c r="B19" s="4" t="s">
        <v>958</v>
      </c>
    </row>
    <row r="20" spans="2:6" hidden="1"/>
    <row r="21" spans="2:6" ht="18" hidden="1">
      <c r="B21" s="1427" t="s">
        <v>984</v>
      </c>
      <c r="C21" s="1428"/>
      <c r="D21" s="1427"/>
      <c r="E21" s="1427"/>
      <c r="F21" s="1429">
        <f>F13</f>
        <v>1686</v>
      </c>
    </row>
    <row r="22" spans="2:6" ht="18" hidden="1">
      <c r="B22" s="1427" t="s">
        <v>985</v>
      </c>
      <c r="C22" s="1428"/>
      <c r="D22" s="1427"/>
      <c r="E22" s="1427"/>
      <c r="F22" s="1430">
        <f>D6</f>
        <v>2.2000000000000002</v>
      </c>
    </row>
    <row r="23" spans="2:6" ht="18" hidden="1">
      <c r="B23" s="1427" t="s">
        <v>986</v>
      </c>
      <c r="C23" s="1428"/>
      <c r="D23" s="1427"/>
      <c r="E23" s="1427"/>
      <c r="F23" s="1429">
        <f>F22*8</f>
        <v>17.600000000000001</v>
      </c>
    </row>
    <row r="24" spans="2:6" ht="18" hidden="1">
      <c r="B24" s="1427" t="s">
        <v>987</v>
      </c>
      <c r="C24" s="1428"/>
      <c r="D24" s="1427"/>
      <c r="E24" s="1427"/>
      <c r="F24" s="1429">
        <f>F21*F23</f>
        <v>29673.600000000002</v>
      </c>
    </row>
    <row r="25" spans="2:6" ht="18" hidden="1">
      <c r="B25" s="1427" t="s">
        <v>988</v>
      </c>
      <c r="C25" s="1428"/>
      <c r="D25" s="1427"/>
      <c r="E25" s="1427"/>
      <c r="F25" s="1431">
        <f>H17</f>
        <v>0</v>
      </c>
    </row>
    <row r="26" spans="2:6" ht="18" hidden="1">
      <c r="B26" s="1427" t="s">
        <v>989</v>
      </c>
      <c r="C26" s="1428"/>
      <c r="D26" s="1427"/>
      <c r="E26" s="1427"/>
      <c r="F26" s="1429">
        <f>F24*F25</f>
        <v>0</v>
      </c>
    </row>
  </sheetData>
  <mergeCells count="1">
    <mergeCell ref="A1:H1"/>
  </mergeCells>
  <phoneticPr fontId="90" type="noConversion"/>
  <printOptions horizontalCentered="1"/>
  <pageMargins left="0.5" right="0.25" top="0.75" bottom="0.5"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1"/>
  <sheetViews>
    <sheetView zoomScale="89" zoomScaleNormal="89" workbookViewId="0">
      <selection activeCell="O16" sqref="O16"/>
    </sheetView>
  </sheetViews>
  <sheetFormatPr defaultColWidth="9" defaultRowHeight="15"/>
  <cols>
    <col min="1" max="1" width="7.875" style="334" customWidth="1"/>
    <col min="2" max="2" width="48.625" style="245" customWidth="1"/>
    <col min="3" max="3" width="5.75" style="296" bestFit="1" customWidth="1"/>
    <col min="4" max="4" width="8.625" style="245" customWidth="1"/>
    <col min="5" max="5" width="9.25" style="245" customWidth="1"/>
    <col min="6" max="6" width="12.25" style="297" bestFit="1" customWidth="1"/>
    <col min="7" max="7" width="8.25" style="297" customWidth="1"/>
    <col min="8" max="8" width="12.25" style="298" customWidth="1"/>
    <col min="9" max="9" width="9.875" style="1520" customWidth="1"/>
    <col min="10" max="16384" width="9" style="245"/>
  </cols>
  <sheetData>
    <row r="1" spans="1:12" ht="15.75">
      <c r="A1" s="1864" t="s">
        <v>1128</v>
      </c>
      <c r="B1" s="1864"/>
      <c r="C1" s="1864"/>
      <c r="D1" s="1864"/>
      <c r="E1" s="1864"/>
      <c r="F1" s="1864"/>
      <c r="G1" s="1864"/>
      <c r="H1" s="1864"/>
      <c r="I1" s="1864"/>
    </row>
    <row r="2" spans="1:12" ht="15.75">
      <c r="A2" s="323"/>
      <c r="B2" s="247"/>
      <c r="C2" s="246"/>
      <c r="D2" s="247"/>
      <c r="E2" s="247"/>
      <c r="F2" s="248"/>
      <c r="G2" s="249"/>
      <c r="H2" s="250" t="s">
        <v>70</v>
      </c>
      <c r="I2" s="1519" t="s">
        <v>69</v>
      </c>
    </row>
    <row r="3" spans="1:12" s="257" customFormat="1" ht="47.25">
      <c r="A3" s="275" t="s">
        <v>14</v>
      </c>
      <c r="B3" s="275" t="s">
        <v>16</v>
      </c>
      <c r="C3" s="275" t="s">
        <v>20</v>
      </c>
      <c r="D3" s="275" t="s">
        <v>4</v>
      </c>
      <c r="E3" s="275" t="s">
        <v>5</v>
      </c>
      <c r="F3" s="553" t="s">
        <v>18</v>
      </c>
      <c r="G3" s="553" t="s">
        <v>0</v>
      </c>
      <c r="H3" s="1522" t="s">
        <v>1001</v>
      </c>
      <c r="I3" s="946" t="s">
        <v>72</v>
      </c>
    </row>
    <row r="4" spans="1:12" s="257" customFormat="1" ht="15.75">
      <c r="A4" s="275"/>
      <c r="B4" s="554" t="str">
        <f>'Nhân công quet'!B3</f>
        <v>Quét giấy tờ pháp lý và xử lý tập tin</v>
      </c>
      <c r="C4" s="275"/>
      <c r="D4" s="275"/>
      <c r="E4" s="275"/>
      <c r="F4" s="553"/>
      <c r="G4" s="553"/>
      <c r="H4" s="945"/>
      <c r="I4" s="1521"/>
    </row>
    <row r="5" spans="1:12" s="257" customFormat="1" ht="47.25">
      <c r="A5" s="1435">
        <f>'Nhân công quet'!A4</f>
        <v>1</v>
      </c>
      <c r="B5" s="1438" t="s">
        <v>1003</v>
      </c>
      <c r="C5" s="275"/>
      <c r="D5" s="275"/>
      <c r="E5" s="275"/>
      <c r="F5" s="553"/>
      <c r="G5" s="553"/>
      <c r="H5" s="945"/>
      <c r="I5" s="1521"/>
    </row>
    <row r="6" spans="1:12" s="257" customFormat="1" ht="15.75">
      <c r="A6" s="1437" t="str">
        <f>'Nhân công quet'!A5</f>
        <v>1.1</v>
      </c>
      <c r="B6" s="1436" t="str">
        <f>'Nhân công quet'!B5</f>
        <v>Quét trang A3</v>
      </c>
      <c r="C6" s="275"/>
      <c r="D6" s="275"/>
      <c r="E6" s="275"/>
      <c r="F6" s="553"/>
      <c r="G6" s="553"/>
      <c r="H6" s="945"/>
      <c r="I6" s="1586">
        <f>SUM(I7:I10)</f>
        <v>168.48</v>
      </c>
    </row>
    <row r="7" spans="1:12" s="340" customFormat="1" ht="15.75">
      <c r="A7" s="1437"/>
      <c r="B7" s="1442" t="s">
        <v>73</v>
      </c>
      <c r="C7" s="280" t="s">
        <v>130</v>
      </c>
      <c r="D7" s="280">
        <f>Gia_Tbi!D4</f>
        <v>0.4</v>
      </c>
      <c r="E7" s="336">
        <f>Gia_Tbi!E4</f>
        <v>5</v>
      </c>
      <c r="F7" s="337">
        <f>Gia_Tbi!F4</f>
        <v>10000000</v>
      </c>
      <c r="G7" s="337">
        <f>Gia_Tbi!G4</f>
        <v>4000</v>
      </c>
      <c r="H7" s="338">
        <v>9.5999999999999992E-3</v>
      </c>
      <c r="I7" s="1587">
        <f>$G7*H7</f>
        <v>38.4</v>
      </c>
    </row>
    <row r="8" spans="1:12" s="340" customFormat="1" ht="15.75">
      <c r="A8" s="1437"/>
      <c r="B8" s="1443" t="s">
        <v>134</v>
      </c>
      <c r="C8" s="280" t="s">
        <v>130</v>
      </c>
      <c r="D8" s="280">
        <f>Gia_Tbi!D9</f>
        <v>0.8</v>
      </c>
      <c r="E8" s="336">
        <v>8</v>
      </c>
      <c r="F8" s="337">
        <f>Gia_Tbi!F9</f>
        <v>45200000</v>
      </c>
      <c r="G8" s="337">
        <f>F8/E8/500</f>
        <v>11300</v>
      </c>
      <c r="H8" s="338">
        <v>9.5999999999999992E-3</v>
      </c>
      <c r="I8" s="1587">
        <f>G8*H8</f>
        <v>108.47999999999999</v>
      </c>
    </row>
    <row r="9" spans="1:12" s="340" customFormat="1" ht="15.75">
      <c r="A9" s="1437"/>
      <c r="B9" s="1443" t="s">
        <v>135</v>
      </c>
      <c r="C9" s="280" t="s">
        <v>130</v>
      </c>
      <c r="D9" s="280">
        <f>Gia_Tbi!D11</f>
        <v>0.4</v>
      </c>
      <c r="E9" s="336">
        <f>Gia_Tbi!E11</f>
        <v>5</v>
      </c>
      <c r="F9" s="337">
        <f>Gia_Tbi!F11</f>
        <v>5000000</v>
      </c>
      <c r="G9" s="337">
        <f>F9/E9/500</f>
        <v>2000</v>
      </c>
      <c r="H9" s="338">
        <v>9.5999999999999992E-3</v>
      </c>
      <c r="I9" s="1587">
        <f>G9*H9</f>
        <v>19.2</v>
      </c>
    </row>
    <row r="10" spans="1:12" ht="15.75">
      <c r="A10" s="1437"/>
      <c r="B10" s="1442" t="s">
        <v>24</v>
      </c>
      <c r="C10" s="282" t="s">
        <v>130</v>
      </c>
      <c r="D10" s="282">
        <f>Gia_Tbi!D6</f>
        <v>2.2000000000000002</v>
      </c>
      <c r="E10" s="283">
        <f>Gia_Tbi!E6</f>
        <v>8</v>
      </c>
      <c r="F10" s="284">
        <f>Gia_Tbi!F6</f>
        <v>12000000</v>
      </c>
      <c r="G10" s="284">
        <f>Gia_Tbi!G6</f>
        <v>3000</v>
      </c>
      <c r="H10" s="285">
        <v>8.0000000000000004E-4</v>
      </c>
      <c r="I10" s="1588">
        <f>$G10*H10</f>
        <v>2.4</v>
      </c>
    </row>
    <row r="11" spans="1:12" ht="15.75">
      <c r="A11" s="1437"/>
      <c r="B11" s="1442" t="s">
        <v>8</v>
      </c>
      <c r="C11" s="282" t="s">
        <v>147</v>
      </c>
      <c r="D11" s="282"/>
      <c r="E11" s="555"/>
      <c r="F11" s="284">
        <f>Gia_Tbi!F13</f>
        <v>1686</v>
      </c>
      <c r="G11" s="284">
        <f>Gia_Tbi!G13</f>
        <v>13488</v>
      </c>
      <c r="H11" s="287">
        <v>1.7100000000000001E-2</v>
      </c>
      <c r="I11" s="1588">
        <f>$G11*H11</f>
        <v>230.6448</v>
      </c>
    </row>
    <row r="12" spans="1:12" s="257" customFormat="1" ht="15.75">
      <c r="A12" s="1437" t="str">
        <f>'Nhân công quet'!A6</f>
        <v>1.2</v>
      </c>
      <c r="B12" s="1436" t="str">
        <f>'Nhân công quet'!B6</f>
        <v>Quét trang A4</v>
      </c>
      <c r="C12" s="275"/>
      <c r="D12" s="275"/>
      <c r="E12" s="275"/>
      <c r="F12" s="553"/>
      <c r="G12" s="553"/>
      <c r="H12" s="945"/>
      <c r="I12" s="1586">
        <f>SUM(I13:I16)</f>
        <v>55.900000000000006</v>
      </c>
      <c r="L12" s="1800"/>
    </row>
    <row r="13" spans="1:12" s="340" customFormat="1" ht="15.75">
      <c r="A13" s="1437"/>
      <c r="B13" s="1442" t="s">
        <v>73</v>
      </c>
      <c r="C13" s="280" t="s">
        <v>130</v>
      </c>
      <c r="D13" s="280">
        <f>Gia_Tbi!$D$4</f>
        <v>0.4</v>
      </c>
      <c r="E13" s="336">
        <f>Gia_Tbi!$E$4</f>
        <v>5</v>
      </c>
      <c r="F13" s="337">
        <f>Gia_Tbi!$F$4</f>
        <v>10000000</v>
      </c>
      <c r="G13" s="337">
        <f>Gia_Tbi!G4</f>
        <v>4000</v>
      </c>
      <c r="H13" s="338">
        <v>6.4000000000000003E-3</v>
      </c>
      <c r="I13" s="1587">
        <f>$G13*H13</f>
        <v>25.6</v>
      </c>
      <c r="L13" s="1787"/>
    </row>
    <row r="14" spans="1:12" s="340" customFormat="1" ht="15.75">
      <c r="A14" s="1437"/>
      <c r="B14" s="1443" t="s">
        <v>113</v>
      </c>
      <c r="C14" s="280" t="s">
        <v>130</v>
      </c>
      <c r="D14" s="280">
        <f>Gia_Tbi!$D$8</f>
        <v>0.6</v>
      </c>
      <c r="E14" s="336">
        <f>Gia_Tbi!$E$8</f>
        <v>8</v>
      </c>
      <c r="F14" s="337">
        <f>Gia_Tbi!$F$8</f>
        <v>10000000</v>
      </c>
      <c r="G14" s="337">
        <f>F14/E14/500</f>
        <v>2500</v>
      </c>
      <c r="H14" s="338">
        <v>6.4000000000000003E-3</v>
      </c>
      <c r="I14" s="1587">
        <f>G14*H14</f>
        <v>16</v>
      </c>
    </row>
    <row r="15" spans="1:12" s="340" customFormat="1" ht="15.75">
      <c r="A15" s="1437"/>
      <c r="B15" s="1443" t="s">
        <v>135</v>
      </c>
      <c r="C15" s="280" t="s">
        <v>130</v>
      </c>
      <c r="D15" s="280">
        <f>Gia_Tbi!$D$11</f>
        <v>0.4</v>
      </c>
      <c r="E15" s="336">
        <f>Gia_Tbi!$E$11</f>
        <v>5</v>
      </c>
      <c r="F15" s="337">
        <f>Gia_Tbi!$F$11</f>
        <v>5000000</v>
      </c>
      <c r="G15" s="337">
        <f>F15/E15/500</f>
        <v>2000</v>
      </c>
      <c r="H15" s="338">
        <v>6.4000000000000003E-3</v>
      </c>
      <c r="I15" s="1587">
        <f>G15*H15</f>
        <v>12.8</v>
      </c>
      <c r="K15" s="1787"/>
    </row>
    <row r="16" spans="1:12" ht="15.75">
      <c r="A16" s="280"/>
      <c r="B16" s="281" t="s">
        <v>24</v>
      </c>
      <c r="C16" s="282" t="s">
        <v>130</v>
      </c>
      <c r="D16" s="282">
        <f>Gia_Tbi!$D$6</f>
        <v>2.2000000000000002</v>
      </c>
      <c r="E16" s="283">
        <f>Gia_Tbi!$E$6</f>
        <v>8</v>
      </c>
      <c r="F16" s="284">
        <f>Gia_Tbi!$F$6</f>
        <v>12000000</v>
      </c>
      <c r="G16" s="284">
        <f>Gia_Tbi!G6</f>
        <v>3000</v>
      </c>
      <c r="H16" s="285">
        <v>5.0000000000000001E-4</v>
      </c>
      <c r="I16" s="1588">
        <f>$G16*H16</f>
        <v>1.5</v>
      </c>
    </row>
    <row r="17" spans="1:9" ht="15.75">
      <c r="A17" s="280"/>
      <c r="B17" s="281" t="s">
        <v>8</v>
      </c>
      <c r="C17" s="282" t="s">
        <v>147</v>
      </c>
      <c r="D17" s="282"/>
      <c r="E17" s="555"/>
      <c r="F17" s="284">
        <f>Gia_Tbi!F13</f>
        <v>1686</v>
      </c>
      <c r="G17" s="284">
        <f>Gia_Tbi!G13</f>
        <v>13488</v>
      </c>
      <c r="H17" s="287">
        <v>1.01E-2</v>
      </c>
      <c r="I17" s="1588">
        <f>$G17*H17</f>
        <v>136.22880000000001</v>
      </c>
    </row>
    <row r="18" spans="1:9" s="257" customFormat="1" ht="47.25">
      <c r="A18" s="1435">
        <f>'Nhân công quet'!A7</f>
        <v>2</v>
      </c>
      <c r="B18" s="1438" t="str">
        <f>'Nhân công quet'!B7</f>
        <v>Xử lý các tệp tin quét thành tệp (File) hồ sơ quét dạng số của thửa đất, lưu trữ dưới khuôn dạng tệp tin PDF (ở định dạng không chỉnh sửa được)</v>
      </c>
      <c r="C18" s="275"/>
      <c r="D18" s="275"/>
      <c r="E18" s="275"/>
      <c r="F18" s="553"/>
      <c r="G18" s="553"/>
      <c r="H18" s="945"/>
      <c r="I18" s="1586">
        <f>SUM(I19:I20)</f>
        <v>13.700000000000001</v>
      </c>
    </row>
    <row r="19" spans="1:9" ht="15.75">
      <c r="A19" s="280"/>
      <c r="B19" s="281" t="s">
        <v>73</v>
      </c>
      <c r="C19" s="280" t="s">
        <v>130</v>
      </c>
      <c r="D19" s="280">
        <f>Gia_Tbi!$D$4</f>
        <v>0.4</v>
      </c>
      <c r="E19" s="280">
        <v>5</v>
      </c>
      <c r="F19" s="1170">
        <f>Gia_Tbi!$F$4</f>
        <v>10000000</v>
      </c>
      <c r="G19" s="1171">
        <f>Gia_Tbi!$G$4</f>
        <v>4000</v>
      </c>
      <c r="H19" s="287">
        <v>3.2000000000000002E-3</v>
      </c>
      <c r="I19" s="1588">
        <f>$G19*H19</f>
        <v>12.8</v>
      </c>
    </row>
    <row r="20" spans="1:9" ht="15.75">
      <c r="A20" s="280"/>
      <c r="B20" s="281" t="s">
        <v>24</v>
      </c>
      <c r="C20" s="280" t="s">
        <v>130</v>
      </c>
      <c r="D20" s="280">
        <f>Gia_Tbi!$D$6</f>
        <v>2.2000000000000002</v>
      </c>
      <c r="E20" s="280">
        <v>8</v>
      </c>
      <c r="F20" s="1170">
        <f>Gia_Tbi!$F$6</f>
        <v>12000000</v>
      </c>
      <c r="G20" s="1171">
        <f>Gia_Tbi!$G$6</f>
        <v>3000</v>
      </c>
      <c r="H20" s="287">
        <v>2.9999999999999997E-4</v>
      </c>
      <c r="I20" s="1588">
        <f>$G20*H20</f>
        <v>0.89999999999999991</v>
      </c>
    </row>
    <row r="21" spans="1:9" ht="15.75">
      <c r="A21" s="280"/>
      <c r="B21" s="281" t="s">
        <v>8</v>
      </c>
      <c r="C21" s="280" t="s">
        <v>147</v>
      </c>
      <c r="D21" s="280"/>
      <c r="E21" s="555"/>
      <c r="F21" s="1170">
        <f>Gia_Tbi!$F$13</f>
        <v>1686</v>
      </c>
      <c r="G21" s="1171">
        <f>Gia_Tbi!$G$13</f>
        <v>13488</v>
      </c>
      <c r="H21" s="287">
        <v>1.9E-3</v>
      </c>
      <c r="I21" s="1588">
        <f>$G21*H21</f>
        <v>25.627199999999998</v>
      </c>
    </row>
    <row r="22" spans="1:9" s="257" customFormat="1" ht="30" customHeight="1">
      <c r="A22" s="1435">
        <f>'Nhân công quet'!A8</f>
        <v>3</v>
      </c>
      <c r="B22" s="1438" t="s">
        <v>1002</v>
      </c>
      <c r="C22" s="275"/>
      <c r="D22" s="275"/>
      <c r="E22" s="275"/>
      <c r="F22" s="553"/>
      <c r="G22" s="553"/>
      <c r="H22" s="945"/>
      <c r="I22" s="1586">
        <f>SUM(I23:I26)</f>
        <v>74.452399999999997</v>
      </c>
    </row>
    <row r="23" spans="1:9" ht="15.75">
      <c r="A23" s="280"/>
      <c r="B23" s="281" t="s">
        <v>73</v>
      </c>
      <c r="C23" s="280" t="s">
        <v>130</v>
      </c>
      <c r="D23" s="280">
        <f>Gia_Tbi!$D$4</f>
        <v>0.4</v>
      </c>
      <c r="E23" s="280">
        <v>5</v>
      </c>
      <c r="F23" s="1413" t="s">
        <v>983</v>
      </c>
      <c r="G23" s="1413">
        <f>Gia_Tbi!$G$4</f>
        <v>4000</v>
      </c>
      <c r="H23" s="287">
        <v>8.0000000000000002E-3</v>
      </c>
      <c r="I23" s="1588">
        <f>$G23*H23</f>
        <v>32</v>
      </c>
    </row>
    <row r="24" spans="1:9" ht="15.75">
      <c r="A24" s="280"/>
      <c r="B24" s="281" t="str">
        <f>Gia_Tbi!B10</f>
        <v>Máy chủ</v>
      </c>
      <c r="C24" s="280" t="str">
        <f>Gia_Tbi!C10</f>
        <v>Cái</v>
      </c>
      <c r="D24" s="280">
        <f>Gia_Tbi!D10</f>
        <v>1</v>
      </c>
      <c r="E24" s="280">
        <f>Gia_Tbi!E10</f>
        <v>10</v>
      </c>
      <c r="F24" s="1413">
        <f>Gia_Tbi!F10</f>
        <v>80000000</v>
      </c>
      <c r="G24" s="1413">
        <f>Gia_Tbi!G10</f>
        <v>16000</v>
      </c>
      <c r="H24" s="287">
        <v>2E-3</v>
      </c>
      <c r="I24" s="1588">
        <f t="shared" ref="I24:I25" si="0">$G24*H24</f>
        <v>32</v>
      </c>
    </row>
    <row r="25" spans="1:9" ht="15.75">
      <c r="A25" s="280"/>
      <c r="B25" s="281" t="str">
        <f>Gia_Phanmem!B5</f>
        <v>Hệ quản trị cơ sở dữ liệu thuộc tính</v>
      </c>
      <c r="C25" s="280" t="str">
        <f>Gia_Phanmem!C5</f>
        <v>Bộ</v>
      </c>
      <c r="D25" s="280"/>
      <c r="E25" s="280">
        <f>Gia_Phanmem!E5</f>
        <v>10</v>
      </c>
      <c r="F25" s="1413">
        <f>Gia_Phanmem!F5</f>
        <v>20881000</v>
      </c>
      <c r="G25" s="1413">
        <f>Gia_Phanmem!G5</f>
        <v>4176.2</v>
      </c>
      <c r="H25" s="287">
        <v>2E-3</v>
      </c>
      <c r="I25" s="1588">
        <f t="shared" si="0"/>
        <v>8.3523999999999994</v>
      </c>
    </row>
    <row r="26" spans="1:9" ht="15.75">
      <c r="A26" s="280"/>
      <c r="B26" s="281" t="s">
        <v>24</v>
      </c>
      <c r="C26" s="280" t="s">
        <v>130</v>
      </c>
      <c r="D26" s="280">
        <f>Gia_Tbi!$D$6</f>
        <v>2.2000000000000002</v>
      </c>
      <c r="E26" s="280">
        <v>8</v>
      </c>
      <c r="F26" s="1413">
        <f>Gia_Tbi!$F$6</f>
        <v>12000000</v>
      </c>
      <c r="G26" s="1413">
        <f>Gia_Tbi!$G$6</f>
        <v>3000</v>
      </c>
      <c r="H26" s="287">
        <v>6.9999999999999999E-4</v>
      </c>
      <c r="I26" s="1588">
        <f>$G26*H26</f>
        <v>2.1</v>
      </c>
    </row>
    <row r="27" spans="1:9" ht="15.75">
      <c r="A27" s="280"/>
      <c r="B27" s="281" t="s">
        <v>8</v>
      </c>
      <c r="C27" s="280" t="s">
        <v>147</v>
      </c>
      <c r="D27" s="280"/>
      <c r="E27" s="555"/>
      <c r="F27" s="1170">
        <f>Gia_Tbi!$F$13</f>
        <v>1686</v>
      </c>
      <c r="G27" s="1171">
        <f>Gia_Tbi!$G$13</f>
        <v>13488</v>
      </c>
      <c r="H27" s="287">
        <v>6.7000000000000002E-3</v>
      </c>
      <c r="I27" s="1588">
        <f>$G27*H27</f>
        <v>90.369600000000005</v>
      </c>
    </row>
    <row r="29" spans="1:9" ht="15.75">
      <c r="B29" s="1465"/>
    </row>
    <row r="31" spans="1:9" ht="15.75">
      <c r="B31" s="1465"/>
    </row>
  </sheetData>
  <mergeCells count="1">
    <mergeCell ref="A1:I1"/>
  </mergeCells>
  <pageMargins left="0.61811023600000004" right="0.118110236220472" top="0.69488189" bottom="0.15748031496063" header="0.118110236220472" footer="0.118110236220472"/>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87"/>
  <sheetViews>
    <sheetView zoomScaleNormal="100" workbookViewId="0">
      <selection activeCell="K16" sqref="K16"/>
    </sheetView>
  </sheetViews>
  <sheetFormatPr defaultColWidth="9" defaultRowHeight="15.75"/>
  <cols>
    <col min="1" max="1" width="5.625" style="929" bestFit="1" customWidth="1"/>
    <col min="2" max="2" width="56" style="488" customWidth="1"/>
    <col min="3" max="3" width="11.5" style="929" customWidth="1"/>
    <col min="4" max="4" width="9.375" style="488" customWidth="1"/>
    <col min="5" max="5" width="9" style="488" bestFit="1" customWidth="1"/>
    <col min="6" max="6" width="9.75" style="488" customWidth="1"/>
    <col min="7" max="7" width="11" style="488" customWidth="1"/>
    <col min="8" max="16384" width="9" style="488"/>
  </cols>
  <sheetData>
    <row r="1" spans="1:9" s="1777" customFormat="1">
      <c r="A1" s="1872" t="s">
        <v>1129</v>
      </c>
      <c r="B1" s="1872"/>
      <c r="C1" s="1872"/>
      <c r="D1" s="1872"/>
      <c r="E1" s="1872"/>
      <c r="F1" s="1872"/>
      <c r="G1" s="1872"/>
    </row>
    <row r="3" spans="1:9" ht="16.5" customHeight="1">
      <c r="A3" s="1594" t="s">
        <v>14</v>
      </c>
      <c r="B3" s="1594" t="s">
        <v>1042</v>
      </c>
      <c r="C3" s="308" t="s">
        <v>20</v>
      </c>
      <c r="D3" s="1594" t="s">
        <v>98</v>
      </c>
      <c r="E3" s="308" t="s">
        <v>17</v>
      </c>
      <c r="F3" s="1610" t="s">
        <v>100</v>
      </c>
      <c r="G3" s="1610" t="s">
        <v>19</v>
      </c>
    </row>
    <row r="4" spans="1:9" ht="15.75" customHeight="1">
      <c r="A4" s="1594">
        <v>1</v>
      </c>
      <c r="B4" s="1749" t="s">
        <v>903</v>
      </c>
      <c r="C4" s="1594"/>
      <c r="D4" s="1138"/>
      <c r="E4" s="1778"/>
      <c r="F4" s="1610" t="s">
        <v>102</v>
      </c>
      <c r="G4" s="1610"/>
    </row>
    <row r="5" spans="1:9">
      <c r="A5" s="316" t="s">
        <v>156</v>
      </c>
      <c r="B5" s="1147" t="s">
        <v>904</v>
      </c>
      <c r="C5" s="316" t="s">
        <v>151</v>
      </c>
      <c r="D5" s="316"/>
      <c r="E5" s="1779"/>
      <c r="F5" s="1779"/>
      <c r="G5" s="1780">
        <f>SUM(G6:G12)</f>
        <v>67.249819230769219</v>
      </c>
    </row>
    <row r="6" spans="1:9">
      <c r="A6" s="316"/>
      <c r="B6" s="1147" t="s">
        <v>52</v>
      </c>
      <c r="C6" s="316" t="s">
        <v>130</v>
      </c>
      <c r="D6" s="316">
        <v>24</v>
      </c>
      <c r="E6" s="1781">
        <v>6.1999999999999998E-3</v>
      </c>
      <c r="F6" s="1782">
        <f>Gia_Dcu!F6</f>
        <v>21.634615384615383</v>
      </c>
      <c r="G6" s="1783">
        <f>F6*E6</f>
        <v>0.13413461538461538</v>
      </c>
    </row>
    <row r="7" spans="1:9">
      <c r="A7" s="316"/>
      <c r="B7" s="1147" t="s">
        <v>53</v>
      </c>
      <c r="C7" s="316" t="s">
        <v>130</v>
      </c>
      <c r="D7" s="316">
        <v>60</v>
      </c>
      <c r="E7" s="1781">
        <v>1.04E-2</v>
      </c>
      <c r="F7" s="1782">
        <f>Gia_Dcu!F7</f>
        <v>961.53846153846155</v>
      </c>
      <c r="G7" s="1783">
        <f t="shared" ref="G7:G32" si="0">F7*E7</f>
        <v>10</v>
      </c>
    </row>
    <row r="8" spans="1:9">
      <c r="A8" s="316"/>
      <c r="B8" s="1147" t="s">
        <v>54</v>
      </c>
      <c r="C8" s="316" t="s">
        <v>130</v>
      </c>
      <c r="D8" s="316">
        <v>60</v>
      </c>
      <c r="E8" s="1781">
        <v>2.4E-2</v>
      </c>
      <c r="F8" s="1782">
        <f>Gia_Dcu!F8</f>
        <v>144.23076923076923</v>
      </c>
      <c r="G8" s="1783">
        <f t="shared" si="0"/>
        <v>3.4615384615384617</v>
      </c>
    </row>
    <row r="9" spans="1:9">
      <c r="A9" s="316"/>
      <c r="B9" s="1147" t="s">
        <v>27</v>
      </c>
      <c r="C9" s="316" t="s">
        <v>130</v>
      </c>
      <c r="D9" s="316">
        <v>60</v>
      </c>
      <c r="E9" s="1781">
        <v>2.4E-2</v>
      </c>
      <c r="F9" s="1782">
        <f>Gia_Dcu!F9</f>
        <v>302.08333333333337</v>
      </c>
      <c r="G9" s="1783">
        <f t="shared" si="0"/>
        <v>7.2500000000000009</v>
      </c>
    </row>
    <row r="10" spans="1:9">
      <c r="A10" s="316"/>
      <c r="B10" s="1147" t="s">
        <v>55</v>
      </c>
      <c r="C10" s="316" t="s">
        <v>130</v>
      </c>
      <c r="D10" s="316">
        <v>60</v>
      </c>
      <c r="E10" s="1781">
        <v>6.0000000000000001E-3</v>
      </c>
      <c r="F10" s="1782">
        <f>Gia_Dcu!F10</f>
        <v>348.55769230769232</v>
      </c>
      <c r="G10" s="1783">
        <f t="shared" si="0"/>
        <v>2.0913461538461542</v>
      </c>
    </row>
    <row r="11" spans="1:9">
      <c r="A11" s="316"/>
      <c r="B11" s="1147" t="s">
        <v>56</v>
      </c>
      <c r="C11" s="316" t="s">
        <v>130</v>
      </c>
      <c r="D11" s="316">
        <v>12</v>
      </c>
      <c r="E11" s="1781">
        <v>2.4E-2</v>
      </c>
      <c r="F11" s="1782">
        <f>Gia_Dcu!F11</f>
        <v>104.16666666666667</v>
      </c>
      <c r="G11" s="1783">
        <f t="shared" si="0"/>
        <v>2.5</v>
      </c>
      <c r="I11" s="1799">
        <f>G5+G13+G21+G27</f>
        <v>205.33913653846153</v>
      </c>
    </row>
    <row r="12" spans="1:9">
      <c r="A12" s="316"/>
      <c r="B12" s="1147" t="s">
        <v>58</v>
      </c>
      <c r="C12" s="316" t="s">
        <v>147</v>
      </c>
      <c r="D12" s="316"/>
      <c r="E12" s="1781">
        <v>3.0999999999999999E-3</v>
      </c>
      <c r="F12" s="1615">
        <f>Gia_Dcu!F12</f>
        <v>13488</v>
      </c>
      <c r="G12" s="1783">
        <f t="shared" si="0"/>
        <v>41.812799999999996</v>
      </c>
    </row>
    <row r="13" spans="1:9">
      <c r="A13" s="316" t="s">
        <v>157</v>
      </c>
      <c r="B13" s="1147" t="s">
        <v>905</v>
      </c>
      <c r="C13" s="316" t="s">
        <v>778</v>
      </c>
      <c r="D13" s="316"/>
      <c r="E13" s="1779"/>
      <c r="F13" s="1779"/>
      <c r="G13" s="1780">
        <f>SUM(G14:G20)</f>
        <v>66.357511538461537</v>
      </c>
    </row>
    <row r="14" spans="1:9">
      <c r="A14" s="316"/>
      <c r="B14" s="1147" t="s">
        <v>52</v>
      </c>
      <c r="C14" s="316" t="s">
        <v>130</v>
      </c>
      <c r="D14" s="316">
        <v>24</v>
      </c>
      <c r="E14" s="1779">
        <v>9.4000000000000004E-3</v>
      </c>
      <c r="F14" s="1784">
        <f>F6</f>
        <v>21.634615384615383</v>
      </c>
      <c r="G14" s="1783">
        <f t="shared" si="0"/>
        <v>0.20336538461538461</v>
      </c>
    </row>
    <row r="15" spans="1:9">
      <c r="A15" s="316"/>
      <c r="B15" s="1147" t="s">
        <v>53</v>
      </c>
      <c r="C15" s="316" t="s">
        <v>130</v>
      </c>
      <c r="D15" s="316">
        <v>60</v>
      </c>
      <c r="E15" s="1779">
        <v>9.4000000000000004E-3</v>
      </c>
      <c r="F15" s="1784">
        <f t="shared" ref="F15:F20" si="1">F7</f>
        <v>961.53846153846155</v>
      </c>
      <c r="G15" s="1783">
        <f t="shared" si="0"/>
        <v>9.0384615384615383</v>
      </c>
    </row>
    <row r="16" spans="1:9">
      <c r="A16" s="316"/>
      <c r="B16" s="1147" t="s">
        <v>54</v>
      </c>
      <c r="C16" s="316" t="s">
        <v>130</v>
      </c>
      <c r="D16" s="316">
        <v>60</v>
      </c>
      <c r="E16" s="1779">
        <v>2.4E-2</v>
      </c>
      <c r="F16" s="1784">
        <f t="shared" si="1"/>
        <v>144.23076923076923</v>
      </c>
      <c r="G16" s="1783">
        <f t="shared" si="0"/>
        <v>3.4615384615384617</v>
      </c>
    </row>
    <row r="17" spans="1:7">
      <c r="A17" s="316"/>
      <c r="B17" s="1147" t="s">
        <v>27</v>
      </c>
      <c r="C17" s="316" t="s">
        <v>130</v>
      </c>
      <c r="D17" s="316">
        <v>60</v>
      </c>
      <c r="E17" s="1779">
        <v>2.4E-2</v>
      </c>
      <c r="F17" s="1784">
        <f t="shared" si="1"/>
        <v>302.08333333333337</v>
      </c>
      <c r="G17" s="1783">
        <f t="shared" si="0"/>
        <v>7.2500000000000009</v>
      </c>
    </row>
    <row r="18" spans="1:7">
      <c r="A18" s="316"/>
      <c r="B18" s="1147" t="s">
        <v>55</v>
      </c>
      <c r="C18" s="316" t="s">
        <v>130</v>
      </c>
      <c r="D18" s="316">
        <v>60</v>
      </c>
      <c r="E18" s="1779">
        <v>6.0000000000000001E-3</v>
      </c>
      <c r="F18" s="1784">
        <f t="shared" si="1"/>
        <v>348.55769230769232</v>
      </c>
      <c r="G18" s="1783">
        <f t="shared" si="0"/>
        <v>2.0913461538461542</v>
      </c>
    </row>
    <row r="19" spans="1:7">
      <c r="A19" s="316"/>
      <c r="B19" s="1147" t="s">
        <v>56</v>
      </c>
      <c r="C19" s="316" t="s">
        <v>130</v>
      </c>
      <c r="D19" s="316">
        <v>12</v>
      </c>
      <c r="E19" s="1779">
        <v>2.4E-2</v>
      </c>
      <c r="F19" s="1784">
        <f t="shared" si="1"/>
        <v>104.16666666666667</v>
      </c>
      <c r="G19" s="1783">
        <f t="shared" si="0"/>
        <v>2.5</v>
      </c>
    </row>
    <row r="20" spans="1:7">
      <c r="A20" s="316"/>
      <c r="B20" s="1147" t="s">
        <v>58</v>
      </c>
      <c r="C20" s="316" t="s">
        <v>147</v>
      </c>
      <c r="D20" s="316"/>
      <c r="E20" s="1779">
        <v>3.0999999999999999E-3</v>
      </c>
      <c r="F20" s="1784">
        <f t="shared" si="1"/>
        <v>13488</v>
      </c>
      <c r="G20" s="1783">
        <f t="shared" si="0"/>
        <v>41.812799999999996</v>
      </c>
    </row>
    <row r="21" spans="1:7" ht="47.25">
      <c r="A21" s="1594">
        <v>2</v>
      </c>
      <c r="B21" s="1749" t="s">
        <v>942</v>
      </c>
      <c r="C21" s="1594" t="s">
        <v>153</v>
      </c>
      <c r="D21" s="1594"/>
      <c r="E21" s="1778"/>
      <c r="F21" s="1778"/>
      <c r="G21" s="1780">
        <f>SUM(G22:G26)</f>
        <v>47.821203846153843</v>
      </c>
    </row>
    <row r="22" spans="1:7">
      <c r="A22" s="316"/>
      <c r="B22" s="1147" t="s">
        <v>54</v>
      </c>
      <c r="C22" s="316" t="s">
        <v>130</v>
      </c>
      <c r="D22" s="316">
        <v>60</v>
      </c>
      <c r="E22" s="1779">
        <v>0.02</v>
      </c>
      <c r="F22" s="1784">
        <f>F16</f>
        <v>144.23076923076923</v>
      </c>
      <c r="G22" s="1783">
        <f t="shared" si="0"/>
        <v>2.8846153846153846</v>
      </c>
    </row>
    <row r="23" spans="1:7">
      <c r="A23" s="316"/>
      <c r="B23" s="1147" t="s">
        <v>27</v>
      </c>
      <c r="C23" s="316" t="s">
        <v>130</v>
      </c>
      <c r="D23" s="316">
        <v>60</v>
      </c>
      <c r="E23" s="1779">
        <v>0.02</v>
      </c>
      <c r="F23" s="1784">
        <f t="shared" ref="F23:F26" si="2">F17</f>
        <v>302.08333333333337</v>
      </c>
      <c r="G23" s="1783">
        <f t="shared" si="0"/>
        <v>6.0416666666666679</v>
      </c>
    </row>
    <row r="24" spans="1:7">
      <c r="A24" s="316"/>
      <c r="B24" s="1147" t="s">
        <v>55</v>
      </c>
      <c r="C24" s="316" t="s">
        <v>130</v>
      </c>
      <c r="D24" s="316">
        <v>60</v>
      </c>
      <c r="E24" s="1779">
        <v>5.0000000000000001E-3</v>
      </c>
      <c r="F24" s="1784">
        <f t="shared" si="2"/>
        <v>348.55769230769232</v>
      </c>
      <c r="G24" s="1783">
        <f t="shared" si="0"/>
        <v>1.7427884615384617</v>
      </c>
    </row>
    <row r="25" spans="1:7">
      <c r="A25" s="316"/>
      <c r="B25" s="1147" t="s">
        <v>56</v>
      </c>
      <c r="C25" s="316" t="s">
        <v>130</v>
      </c>
      <c r="D25" s="316">
        <v>12</v>
      </c>
      <c r="E25" s="1779">
        <v>0.02</v>
      </c>
      <c r="F25" s="1784">
        <f t="shared" si="2"/>
        <v>104.16666666666667</v>
      </c>
      <c r="G25" s="1783">
        <f t="shared" si="0"/>
        <v>2.0833333333333335</v>
      </c>
    </row>
    <row r="26" spans="1:7">
      <c r="A26" s="316"/>
      <c r="B26" s="1147" t="s">
        <v>58</v>
      </c>
      <c r="C26" s="316" t="s">
        <v>147</v>
      </c>
      <c r="D26" s="316"/>
      <c r="E26" s="1779">
        <v>2.5999999999999999E-3</v>
      </c>
      <c r="F26" s="1784">
        <f t="shared" si="2"/>
        <v>13488</v>
      </c>
      <c r="G26" s="1783">
        <f t="shared" si="0"/>
        <v>35.068799999999996</v>
      </c>
    </row>
    <row r="27" spans="1:7">
      <c r="A27" s="1594">
        <v>3</v>
      </c>
      <c r="B27" s="1749" t="s">
        <v>1035</v>
      </c>
      <c r="C27" s="1594" t="s">
        <v>1</v>
      </c>
      <c r="D27" s="1594"/>
      <c r="E27" s="1778"/>
      <c r="F27" s="1778"/>
      <c r="G27" s="1780">
        <f>SUM(G28:G32)</f>
        <v>23.910601923076921</v>
      </c>
    </row>
    <row r="28" spans="1:7">
      <c r="A28" s="316"/>
      <c r="B28" s="1147" t="s">
        <v>54</v>
      </c>
      <c r="C28" s="316" t="s">
        <v>130</v>
      </c>
      <c r="D28" s="316">
        <v>60</v>
      </c>
      <c r="E28" s="1779">
        <v>0.01</v>
      </c>
      <c r="F28" s="1784">
        <f>F8</f>
        <v>144.23076923076923</v>
      </c>
      <c r="G28" s="1783">
        <f t="shared" si="0"/>
        <v>1.4423076923076923</v>
      </c>
    </row>
    <row r="29" spans="1:7">
      <c r="A29" s="316"/>
      <c r="B29" s="1147" t="s">
        <v>27</v>
      </c>
      <c r="C29" s="316" t="s">
        <v>130</v>
      </c>
      <c r="D29" s="316">
        <v>60</v>
      </c>
      <c r="E29" s="1779">
        <v>0.01</v>
      </c>
      <c r="F29" s="1784">
        <f t="shared" ref="F29:F32" si="3">F9</f>
        <v>302.08333333333337</v>
      </c>
      <c r="G29" s="1783">
        <f t="shared" si="0"/>
        <v>3.0208333333333339</v>
      </c>
    </row>
    <row r="30" spans="1:7">
      <c r="A30" s="316"/>
      <c r="B30" s="1147" t="s">
        <v>55</v>
      </c>
      <c r="C30" s="316" t="s">
        <v>130</v>
      </c>
      <c r="D30" s="316">
        <v>60</v>
      </c>
      <c r="E30" s="1779">
        <v>2.5000000000000001E-3</v>
      </c>
      <c r="F30" s="1784">
        <f t="shared" si="3"/>
        <v>348.55769230769232</v>
      </c>
      <c r="G30" s="1783">
        <f t="shared" si="0"/>
        <v>0.87139423076923084</v>
      </c>
    </row>
    <row r="31" spans="1:7">
      <c r="A31" s="316"/>
      <c r="B31" s="1147" t="s">
        <v>56</v>
      </c>
      <c r="C31" s="316" t="s">
        <v>130</v>
      </c>
      <c r="D31" s="316">
        <v>12</v>
      </c>
      <c r="E31" s="1779">
        <v>0.01</v>
      </c>
      <c r="F31" s="1784">
        <f t="shared" si="3"/>
        <v>104.16666666666667</v>
      </c>
      <c r="G31" s="1783">
        <f t="shared" si="0"/>
        <v>1.0416666666666667</v>
      </c>
    </row>
    <row r="32" spans="1:7">
      <c r="A32" s="316"/>
      <c r="B32" s="1147" t="s">
        <v>58</v>
      </c>
      <c r="C32" s="316" t="s">
        <v>147</v>
      </c>
      <c r="D32" s="316"/>
      <c r="E32" s="1779">
        <v>1.2999999999999999E-3</v>
      </c>
      <c r="F32" s="1784">
        <f t="shared" si="3"/>
        <v>13488</v>
      </c>
      <c r="G32" s="1783">
        <f t="shared" si="0"/>
        <v>17.534399999999998</v>
      </c>
    </row>
    <row r="33" spans="1:7">
      <c r="A33" s="1785"/>
      <c r="B33" s="1786"/>
      <c r="C33" s="1785"/>
      <c r="D33" s="1786"/>
      <c r="E33" s="1786"/>
      <c r="F33" s="1786"/>
      <c r="G33" s="1786"/>
    </row>
    <row r="34" spans="1:7">
      <c r="A34" s="1785"/>
      <c r="B34" s="1786"/>
      <c r="C34" s="1785"/>
      <c r="D34" s="1786"/>
      <c r="E34" s="1786"/>
      <c r="F34" s="1786"/>
      <c r="G34" s="1786"/>
    </row>
    <row r="35" spans="1:7">
      <c r="A35" s="1785"/>
      <c r="B35" s="1786"/>
      <c r="C35" s="1785"/>
      <c r="D35" s="1786"/>
      <c r="E35" s="1786"/>
      <c r="F35" s="1786"/>
      <c r="G35" s="1786"/>
    </row>
    <row r="36" spans="1:7">
      <c r="A36" s="1785"/>
      <c r="B36" s="1786"/>
      <c r="C36" s="1785"/>
      <c r="D36" s="1786"/>
      <c r="E36" s="1786"/>
      <c r="F36" s="1786"/>
      <c r="G36" s="1786"/>
    </row>
    <row r="37" spans="1:7">
      <c r="A37" s="1785"/>
      <c r="B37" s="1786"/>
      <c r="C37" s="1785"/>
      <c r="D37" s="1786"/>
      <c r="E37" s="1786"/>
      <c r="F37" s="1786"/>
      <c r="G37" s="1786"/>
    </row>
    <row r="38" spans="1:7">
      <c r="A38" s="1785"/>
      <c r="B38" s="1786"/>
      <c r="C38" s="1785"/>
      <c r="D38" s="1786"/>
      <c r="E38" s="1786"/>
      <c r="F38" s="1786"/>
      <c r="G38" s="1786"/>
    </row>
    <row r="39" spans="1:7">
      <c r="A39" s="1785"/>
      <c r="B39" s="1786"/>
      <c r="C39" s="1785"/>
      <c r="D39" s="1786"/>
      <c r="E39" s="1786"/>
      <c r="F39" s="1786"/>
      <c r="G39" s="1786"/>
    </row>
    <row r="40" spans="1:7">
      <c r="A40" s="1785"/>
      <c r="B40" s="1786"/>
      <c r="C40" s="1785"/>
      <c r="D40" s="1786"/>
      <c r="E40" s="1786"/>
      <c r="F40" s="1786"/>
      <c r="G40" s="1786"/>
    </row>
    <row r="41" spans="1:7">
      <c r="A41" s="1785"/>
      <c r="B41" s="1786"/>
      <c r="C41" s="1785"/>
      <c r="D41" s="1786"/>
      <c r="E41" s="1786"/>
      <c r="F41" s="1786"/>
      <c r="G41" s="1786"/>
    </row>
    <row r="42" spans="1:7">
      <c r="A42" s="1785"/>
      <c r="B42" s="1786"/>
      <c r="C42" s="1785"/>
      <c r="D42" s="1786"/>
      <c r="E42" s="1786"/>
      <c r="F42" s="1786"/>
      <c r="G42" s="1786"/>
    </row>
    <row r="43" spans="1:7">
      <c r="A43" s="1785"/>
      <c r="B43" s="1786"/>
      <c r="C43" s="1785"/>
      <c r="D43" s="1786"/>
      <c r="E43" s="1786"/>
      <c r="F43" s="1786"/>
      <c r="G43" s="1786"/>
    </row>
    <row r="44" spans="1:7">
      <c r="A44" s="1785"/>
      <c r="B44" s="1786"/>
      <c r="C44" s="1785"/>
      <c r="D44" s="1786"/>
      <c r="E44" s="1786"/>
      <c r="F44" s="1786"/>
      <c r="G44" s="1786"/>
    </row>
    <row r="45" spans="1:7">
      <c r="A45" s="1785"/>
      <c r="B45" s="1786"/>
      <c r="C45" s="1785"/>
      <c r="D45" s="1786"/>
      <c r="E45" s="1786"/>
      <c r="F45" s="1786"/>
      <c r="G45" s="1786"/>
    </row>
    <row r="46" spans="1:7">
      <c r="A46" s="1785"/>
      <c r="B46" s="1786"/>
      <c r="C46" s="1785"/>
      <c r="D46" s="1786"/>
      <c r="E46" s="1786"/>
      <c r="F46" s="1786"/>
      <c r="G46" s="1786"/>
    </row>
    <row r="47" spans="1:7">
      <c r="A47" s="1785"/>
      <c r="B47" s="1786"/>
      <c r="C47" s="1785"/>
      <c r="D47" s="1786"/>
      <c r="E47" s="1786"/>
      <c r="F47" s="1786"/>
      <c r="G47" s="1786"/>
    </row>
    <row r="48" spans="1:7">
      <c r="A48" s="1785"/>
      <c r="B48" s="1786"/>
      <c r="C48" s="1785"/>
      <c r="D48" s="1786"/>
      <c r="E48" s="1786"/>
      <c r="F48" s="1786"/>
      <c r="G48" s="1786"/>
    </row>
    <row r="49" spans="1:7">
      <c r="A49" s="1785"/>
      <c r="B49" s="1786"/>
      <c r="C49" s="1785"/>
      <c r="D49" s="1786"/>
      <c r="E49" s="1786"/>
      <c r="F49" s="1786"/>
      <c r="G49" s="1786"/>
    </row>
    <row r="50" spans="1:7">
      <c r="A50" s="1785"/>
      <c r="B50" s="1786"/>
      <c r="C50" s="1785"/>
      <c r="D50" s="1786"/>
      <c r="E50" s="1786"/>
      <c r="F50" s="1786"/>
      <c r="G50" s="1786"/>
    </row>
    <row r="51" spans="1:7">
      <c r="A51" s="1785"/>
      <c r="B51" s="1786"/>
      <c r="C51" s="1785"/>
      <c r="D51" s="1786"/>
      <c r="E51" s="1786"/>
      <c r="F51" s="1786"/>
      <c r="G51" s="1786"/>
    </row>
    <row r="52" spans="1:7">
      <c r="A52" s="1785"/>
      <c r="B52" s="1786"/>
      <c r="C52" s="1785"/>
      <c r="D52" s="1786"/>
      <c r="E52" s="1786"/>
      <c r="F52" s="1786"/>
      <c r="G52" s="1786"/>
    </row>
    <row r="53" spans="1:7">
      <c r="A53" s="1785"/>
      <c r="B53" s="1786"/>
      <c r="C53" s="1785"/>
      <c r="D53" s="1786"/>
      <c r="E53" s="1786"/>
      <c r="F53" s="1786"/>
      <c r="G53" s="1786"/>
    </row>
    <row r="54" spans="1:7">
      <c r="A54" s="1785"/>
      <c r="B54" s="1786"/>
      <c r="C54" s="1785"/>
      <c r="D54" s="1786"/>
      <c r="E54" s="1786"/>
      <c r="F54" s="1786"/>
      <c r="G54" s="1786"/>
    </row>
    <row r="55" spans="1:7">
      <c r="A55" s="1785"/>
      <c r="B55" s="1786"/>
      <c r="C55" s="1785"/>
      <c r="D55" s="1786"/>
      <c r="E55" s="1786"/>
      <c r="F55" s="1786"/>
      <c r="G55" s="1786"/>
    </row>
    <row r="56" spans="1:7">
      <c r="A56" s="1785"/>
      <c r="B56" s="1786"/>
      <c r="C56" s="1785"/>
      <c r="D56" s="1786"/>
      <c r="E56" s="1786"/>
      <c r="F56" s="1786"/>
      <c r="G56" s="1786"/>
    </row>
    <row r="57" spans="1:7">
      <c r="A57" s="1785"/>
      <c r="B57" s="1786"/>
      <c r="C57" s="1785"/>
      <c r="D57" s="1786"/>
      <c r="E57" s="1786"/>
      <c r="F57" s="1786"/>
      <c r="G57" s="1786"/>
    </row>
    <row r="58" spans="1:7">
      <c r="A58" s="1785"/>
      <c r="B58" s="1786"/>
      <c r="C58" s="1785"/>
      <c r="D58" s="1786"/>
      <c r="E58" s="1786"/>
      <c r="F58" s="1786"/>
      <c r="G58" s="1786"/>
    </row>
    <row r="59" spans="1:7">
      <c r="A59" s="1785"/>
      <c r="B59" s="1786"/>
      <c r="C59" s="1785"/>
      <c r="D59" s="1786"/>
      <c r="E59" s="1786"/>
      <c r="F59" s="1786"/>
      <c r="G59" s="1786"/>
    </row>
    <row r="60" spans="1:7">
      <c r="A60" s="1785"/>
      <c r="B60" s="1786"/>
      <c r="C60" s="1785"/>
      <c r="D60" s="1786"/>
      <c r="E60" s="1786"/>
      <c r="F60" s="1786"/>
      <c r="G60" s="1786"/>
    </row>
    <row r="61" spans="1:7">
      <c r="A61" s="1785"/>
      <c r="B61" s="1786"/>
      <c r="C61" s="1785"/>
      <c r="D61" s="1786"/>
      <c r="E61" s="1786"/>
      <c r="F61" s="1786"/>
      <c r="G61" s="1786"/>
    </row>
    <row r="62" spans="1:7">
      <c r="A62" s="1785"/>
      <c r="B62" s="1786"/>
      <c r="C62" s="1785"/>
      <c r="D62" s="1786"/>
      <c r="E62" s="1786"/>
      <c r="F62" s="1786"/>
      <c r="G62" s="1786"/>
    </row>
    <row r="63" spans="1:7">
      <c r="A63" s="1785"/>
      <c r="B63" s="1786"/>
      <c r="C63" s="1785"/>
      <c r="D63" s="1786"/>
      <c r="E63" s="1786"/>
      <c r="F63" s="1786"/>
      <c r="G63" s="1786"/>
    </row>
    <row r="64" spans="1:7">
      <c r="A64" s="1785"/>
      <c r="B64" s="1786"/>
      <c r="C64" s="1785"/>
      <c r="D64" s="1786"/>
      <c r="E64" s="1786"/>
      <c r="F64" s="1786"/>
      <c r="G64" s="1786"/>
    </row>
    <row r="65" spans="1:7">
      <c r="A65" s="1785"/>
      <c r="B65" s="1786"/>
      <c r="C65" s="1785"/>
      <c r="D65" s="1786"/>
      <c r="E65" s="1786"/>
      <c r="F65" s="1786"/>
      <c r="G65" s="1786"/>
    </row>
    <row r="66" spans="1:7">
      <c r="A66" s="1785"/>
      <c r="B66" s="1786"/>
      <c r="C66" s="1785"/>
      <c r="D66" s="1786"/>
      <c r="E66" s="1786"/>
      <c r="F66" s="1786"/>
      <c r="G66" s="1786"/>
    </row>
    <row r="67" spans="1:7">
      <c r="A67" s="1785"/>
      <c r="B67" s="1786"/>
      <c r="C67" s="1785"/>
      <c r="D67" s="1786"/>
      <c r="E67" s="1786"/>
      <c r="F67" s="1786"/>
      <c r="G67" s="1786"/>
    </row>
    <row r="68" spans="1:7">
      <c r="A68" s="1785"/>
      <c r="B68" s="1786"/>
      <c r="C68" s="1785"/>
      <c r="D68" s="1786"/>
      <c r="E68" s="1786"/>
      <c r="F68" s="1786"/>
      <c r="G68" s="1786"/>
    </row>
    <row r="69" spans="1:7">
      <c r="A69" s="1785"/>
      <c r="B69" s="1786"/>
      <c r="C69" s="1785"/>
      <c r="D69" s="1786"/>
      <c r="E69" s="1786"/>
      <c r="F69" s="1786"/>
      <c r="G69" s="1786"/>
    </row>
    <row r="70" spans="1:7">
      <c r="A70" s="1785"/>
      <c r="B70" s="1786"/>
      <c r="C70" s="1785"/>
      <c r="D70" s="1786"/>
      <c r="E70" s="1786"/>
      <c r="F70" s="1786"/>
      <c r="G70" s="1786"/>
    </row>
    <row r="71" spans="1:7">
      <c r="A71" s="1785"/>
      <c r="B71" s="1786"/>
      <c r="C71" s="1785"/>
      <c r="D71" s="1786"/>
      <c r="E71" s="1786"/>
      <c r="F71" s="1786"/>
      <c r="G71" s="1786"/>
    </row>
    <row r="72" spans="1:7">
      <c r="A72" s="1785"/>
      <c r="B72" s="1786"/>
      <c r="C72" s="1785"/>
      <c r="D72" s="1786"/>
      <c r="E72" s="1786"/>
      <c r="F72" s="1786"/>
      <c r="G72" s="1786"/>
    </row>
    <row r="73" spans="1:7">
      <c r="A73" s="1785"/>
      <c r="B73" s="1786"/>
      <c r="C73" s="1785"/>
      <c r="D73" s="1786"/>
      <c r="E73" s="1786"/>
      <c r="F73" s="1786"/>
      <c r="G73" s="1786"/>
    </row>
    <row r="74" spans="1:7">
      <c r="A74" s="1785"/>
      <c r="B74" s="1786"/>
      <c r="C74" s="1785"/>
      <c r="D74" s="1786"/>
      <c r="E74" s="1786"/>
      <c r="F74" s="1786"/>
      <c r="G74" s="1786"/>
    </row>
    <row r="75" spans="1:7">
      <c r="A75" s="1785"/>
      <c r="B75" s="1786"/>
      <c r="C75" s="1785"/>
      <c r="D75" s="1786"/>
      <c r="E75" s="1786"/>
      <c r="F75" s="1786"/>
      <c r="G75" s="1786"/>
    </row>
    <row r="76" spans="1:7">
      <c r="A76" s="1785"/>
      <c r="B76" s="1786"/>
      <c r="C76" s="1785"/>
      <c r="D76" s="1786"/>
      <c r="E76" s="1786"/>
      <c r="F76" s="1786"/>
      <c r="G76" s="1786"/>
    </row>
    <row r="77" spans="1:7">
      <c r="A77" s="1785"/>
      <c r="B77" s="1786"/>
      <c r="C77" s="1785"/>
      <c r="D77" s="1786"/>
      <c r="E77" s="1786"/>
      <c r="F77" s="1786"/>
      <c r="G77" s="1786"/>
    </row>
    <row r="78" spans="1:7">
      <c r="A78" s="1785"/>
      <c r="B78" s="1786"/>
      <c r="C78" s="1785"/>
      <c r="D78" s="1786"/>
      <c r="E78" s="1786"/>
      <c r="F78" s="1786"/>
      <c r="G78" s="1786"/>
    </row>
    <row r="79" spans="1:7">
      <c r="A79" s="1785"/>
      <c r="B79" s="1786"/>
      <c r="C79" s="1785"/>
      <c r="D79" s="1786"/>
      <c r="E79" s="1786"/>
      <c r="F79" s="1786"/>
      <c r="G79" s="1786"/>
    </row>
    <row r="80" spans="1:7">
      <c r="A80" s="1785"/>
      <c r="B80" s="1786"/>
      <c r="C80" s="1785"/>
      <c r="D80" s="1786"/>
      <c r="E80" s="1786"/>
      <c r="F80" s="1786"/>
      <c r="G80" s="1786"/>
    </row>
    <row r="81" spans="1:7">
      <c r="A81" s="1785"/>
      <c r="B81" s="1786"/>
      <c r="C81" s="1785"/>
      <c r="D81" s="1786"/>
      <c r="E81" s="1786"/>
      <c r="F81" s="1786"/>
      <c r="G81" s="1786"/>
    </row>
    <row r="82" spans="1:7">
      <c r="A82" s="1785"/>
      <c r="B82" s="1786"/>
      <c r="C82" s="1785"/>
      <c r="D82" s="1786"/>
      <c r="E82" s="1786"/>
      <c r="F82" s="1786"/>
      <c r="G82" s="1786"/>
    </row>
    <row r="83" spans="1:7">
      <c r="A83" s="1785"/>
      <c r="B83" s="1786"/>
      <c r="C83" s="1785"/>
      <c r="D83" s="1786"/>
      <c r="E83" s="1786"/>
      <c r="F83" s="1786"/>
      <c r="G83" s="1786"/>
    </row>
    <row r="84" spans="1:7">
      <c r="A84" s="1785"/>
      <c r="B84" s="1786"/>
      <c r="C84" s="1785"/>
      <c r="D84" s="1786"/>
      <c r="E84" s="1786"/>
      <c r="F84" s="1786"/>
      <c r="G84" s="1786"/>
    </row>
    <row r="85" spans="1:7">
      <c r="A85" s="1785"/>
      <c r="B85" s="1786"/>
      <c r="C85" s="1785"/>
      <c r="D85" s="1786"/>
      <c r="E85" s="1786"/>
      <c r="F85" s="1786"/>
      <c r="G85" s="1786"/>
    </row>
    <row r="86" spans="1:7">
      <c r="A86" s="1785"/>
      <c r="B86" s="1786"/>
      <c r="C86" s="1785"/>
      <c r="D86" s="1786"/>
      <c r="E86" s="1786"/>
      <c r="F86" s="1786"/>
      <c r="G86" s="1786"/>
    </row>
    <row r="87" spans="1:7">
      <c r="A87" s="1785"/>
      <c r="B87" s="1786"/>
      <c r="C87" s="1785"/>
      <c r="D87" s="1786"/>
      <c r="E87" s="1786"/>
      <c r="F87" s="1786"/>
      <c r="G87" s="1786"/>
    </row>
  </sheetData>
  <mergeCells count="1">
    <mergeCell ref="A1:G1"/>
  </mergeCells>
  <printOptions horizontalCentered="1"/>
  <pageMargins left="0.7" right="0.118110236220472" top="0.90551181102362199" bottom="0.36811023599999998" header="0.511811023622047" footer="0.23622047244094499"/>
  <pageSetup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7"/>
  <sheetViews>
    <sheetView topLeftCell="A25" zoomScale="85" zoomScaleNormal="85" workbookViewId="0">
      <selection activeCell="L12" sqref="L12"/>
    </sheetView>
  </sheetViews>
  <sheetFormatPr defaultColWidth="9" defaultRowHeight="15.75"/>
  <cols>
    <col min="1" max="1" width="7.875" style="929" customWidth="1"/>
    <col min="2" max="2" width="35.75" style="488" customWidth="1"/>
    <col min="3" max="3" width="8.25" style="929" customWidth="1"/>
    <col min="4" max="4" width="9.625" style="929" customWidth="1"/>
    <col min="5" max="5" width="11.875" style="929" customWidth="1"/>
    <col min="6" max="6" width="10.25" style="929" customWidth="1"/>
    <col min="7" max="16384" width="9" style="488"/>
  </cols>
  <sheetData>
    <row r="1" spans="1:8">
      <c r="A1" s="1872" t="s">
        <v>1130</v>
      </c>
      <c r="B1" s="1872"/>
      <c r="C1" s="1872"/>
      <c r="D1" s="1872"/>
      <c r="E1" s="1872"/>
      <c r="F1" s="1872"/>
    </row>
    <row r="4" spans="1:8">
      <c r="A4" s="1594" t="s">
        <v>14</v>
      </c>
      <c r="B4" s="1138" t="s">
        <v>1043</v>
      </c>
      <c r="C4" s="1594" t="s">
        <v>20</v>
      </c>
      <c r="D4" s="359" t="s">
        <v>17</v>
      </c>
      <c r="E4" s="358" t="s">
        <v>18</v>
      </c>
      <c r="F4" s="358" t="s">
        <v>19</v>
      </c>
    </row>
    <row r="5" spans="1:8" ht="47.25">
      <c r="A5" s="1594">
        <v>1</v>
      </c>
      <c r="B5" s="1138" t="s">
        <v>903</v>
      </c>
      <c r="C5" s="1594"/>
      <c r="D5" s="1654"/>
      <c r="E5" s="1594" t="s">
        <v>101</v>
      </c>
      <c r="F5" s="1594" t="s">
        <v>101</v>
      </c>
    </row>
    <row r="6" spans="1:8">
      <c r="A6" s="316" t="s">
        <v>156</v>
      </c>
      <c r="B6" s="1136" t="s">
        <v>904</v>
      </c>
      <c r="C6" s="316" t="s">
        <v>151</v>
      </c>
      <c r="D6" s="1655"/>
      <c r="E6" s="1655"/>
      <c r="F6" s="1656">
        <f>SUM(F7:F14)</f>
        <v>399.05</v>
      </c>
      <c r="H6" s="1799">
        <f>F6+F15+F24+F30</f>
        <v>1295.1499999999999</v>
      </c>
    </row>
    <row r="7" spans="1:8">
      <c r="A7" s="316"/>
      <c r="B7" s="1136" t="s">
        <v>77</v>
      </c>
      <c r="C7" s="316" t="s">
        <v>171</v>
      </c>
      <c r="D7" s="1655">
        <v>8.0000000000000004E-4</v>
      </c>
      <c r="E7" s="561">
        <f>Gia_VLieu!D4</f>
        <v>45000</v>
      </c>
      <c r="F7" s="1657">
        <f>+D7*E7</f>
        <v>36</v>
      </c>
    </row>
    <row r="8" spans="1:8" s="1777" customFormat="1">
      <c r="A8" s="1199"/>
      <c r="B8" s="830" t="s">
        <v>78</v>
      </c>
      <c r="C8" s="1199" t="s">
        <v>172</v>
      </c>
      <c r="D8" s="1801">
        <v>2.0000000000000001E-4</v>
      </c>
      <c r="E8" s="1802">
        <f>Gia_VLieu!D5</f>
        <v>1450000</v>
      </c>
      <c r="F8" s="1803">
        <f t="shared" ref="F8:F35" si="0">+D8*E8</f>
        <v>290</v>
      </c>
    </row>
    <row r="9" spans="1:8">
      <c r="A9" s="316"/>
      <c r="B9" s="1136" t="s">
        <v>80</v>
      </c>
      <c r="C9" s="316" t="s">
        <v>173</v>
      </c>
      <c r="D9" s="1655">
        <v>5.9999999999999995E-4</v>
      </c>
      <c r="E9" s="561">
        <f>Gia_VLieu!D7</f>
        <v>10000</v>
      </c>
      <c r="F9" s="1657">
        <f t="shared" si="0"/>
        <v>5.9999999999999991</v>
      </c>
    </row>
    <row r="10" spans="1:8">
      <c r="A10" s="316"/>
      <c r="B10" s="1136" t="s">
        <v>21</v>
      </c>
      <c r="C10" s="316" t="s">
        <v>130</v>
      </c>
      <c r="D10" s="1655">
        <v>1.9E-3</v>
      </c>
      <c r="E10" s="561">
        <f>Gia_VLieu!D8</f>
        <v>2000</v>
      </c>
      <c r="F10" s="1657">
        <f t="shared" si="0"/>
        <v>3.8</v>
      </c>
    </row>
    <row r="11" spans="1:8">
      <c r="A11" s="316"/>
      <c r="B11" s="1136" t="s">
        <v>83</v>
      </c>
      <c r="C11" s="316" t="s">
        <v>130</v>
      </c>
      <c r="D11" s="1655">
        <v>3.5999999999999999E-3</v>
      </c>
      <c r="E11" s="561">
        <f>Gia_VLieu!D10</f>
        <v>10000</v>
      </c>
      <c r="F11" s="1657">
        <f t="shared" si="0"/>
        <v>36</v>
      </c>
    </row>
    <row r="12" spans="1:8">
      <c r="A12" s="316"/>
      <c r="B12" s="1136" t="s">
        <v>84</v>
      </c>
      <c r="C12" s="316" t="s">
        <v>172</v>
      </c>
      <c r="D12" s="1655">
        <v>1.6999999999999999E-3</v>
      </c>
      <c r="E12" s="561">
        <f>Gia_VLieu!D11</f>
        <v>2500</v>
      </c>
      <c r="F12" s="1657">
        <f t="shared" si="0"/>
        <v>4.25</v>
      </c>
    </row>
    <row r="13" spans="1:8">
      <c r="A13" s="316"/>
      <c r="B13" s="1136" t="s">
        <v>85</v>
      </c>
      <c r="C13" s="316" t="s">
        <v>172</v>
      </c>
      <c r="D13" s="1655">
        <v>2.5000000000000001E-3</v>
      </c>
      <c r="E13" s="561">
        <f>Gia_VLieu!D12</f>
        <v>2000</v>
      </c>
      <c r="F13" s="1657">
        <f t="shared" si="0"/>
        <v>5</v>
      </c>
    </row>
    <row r="14" spans="1:8">
      <c r="A14" s="316"/>
      <c r="B14" s="1136" t="s">
        <v>87</v>
      </c>
      <c r="C14" s="316" t="s">
        <v>130</v>
      </c>
      <c r="D14" s="1655">
        <v>1.1999999999999999E-3</v>
      </c>
      <c r="E14" s="561">
        <f>Gia_VLieu!D14</f>
        <v>15000</v>
      </c>
      <c r="F14" s="1657">
        <f t="shared" si="0"/>
        <v>18</v>
      </c>
    </row>
    <row r="15" spans="1:8">
      <c r="A15" s="316" t="s">
        <v>157</v>
      </c>
      <c r="B15" s="1136" t="s">
        <v>905</v>
      </c>
      <c r="C15" s="316" t="s">
        <v>112</v>
      </c>
      <c r="D15" s="1655"/>
      <c r="E15" s="1655"/>
      <c r="F15" s="1656">
        <f>SUM(F16:F23)</f>
        <v>386.3</v>
      </c>
    </row>
    <row r="16" spans="1:8">
      <c r="A16" s="316"/>
      <c r="B16" s="1136" t="s">
        <v>77</v>
      </c>
      <c r="C16" s="316" t="s">
        <v>171</v>
      </c>
      <c r="D16" s="1655">
        <v>8.0000000000000004E-4</v>
      </c>
      <c r="E16" s="561">
        <f>E7</f>
        <v>45000</v>
      </c>
      <c r="F16" s="1657">
        <f t="shared" si="0"/>
        <v>36</v>
      </c>
    </row>
    <row r="17" spans="1:6" s="1777" customFormat="1">
      <c r="A17" s="1199"/>
      <c r="B17" s="830" t="s">
        <v>78</v>
      </c>
      <c r="C17" s="1199" t="s">
        <v>172</v>
      </c>
      <c r="D17" s="1801">
        <v>2.0000000000000001E-4</v>
      </c>
      <c r="E17" s="1802">
        <f t="shared" ref="E17:E23" si="1">E8</f>
        <v>1450000</v>
      </c>
      <c r="F17" s="1803">
        <f>+D17*E17</f>
        <v>290</v>
      </c>
    </row>
    <row r="18" spans="1:6">
      <c r="A18" s="316"/>
      <c r="B18" s="1136" t="s">
        <v>80</v>
      </c>
      <c r="C18" s="316" t="s">
        <v>173</v>
      </c>
      <c r="D18" s="1655">
        <v>5.9999999999999995E-4</v>
      </c>
      <c r="E18" s="561">
        <f t="shared" si="1"/>
        <v>10000</v>
      </c>
      <c r="F18" s="1657">
        <f t="shared" si="0"/>
        <v>5.9999999999999991</v>
      </c>
    </row>
    <row r="19" spans="1:6">
      <c r="A19" s="316"/>
      <c r="B19" s="1136" t="s">
        <v>21</v>
      </c>
      <c r="C19" s="316" t="s">
        <v>130</v>
      </c>
      <c r="D19" s="1655">
        <v>1.9E-3</v>
      </c>
      <c r="E19" s="561">
        <f t="shared" si="1"/>
        <v>2000</v>
      </c>
      <c r="F19" s="1657">
        <f t="shared" si="0"/>
        <v>3.8</v>
      </c>
    </row>
    <row r="20" spans="1:6">
      <c r="A20" s="316"/>
      <c r="B20" s="1136" t="s">
        <v>83</v>
      </c>
      <c r="C20" s="316" t="s">
        <v>130</v>
      </c>
      <c r="D20" s="1655">
        <v>2.7000000000000001E-3</v>
      </c>
      <c r="E20" s="561">
        <f t="shared" si="1"/>
        <v>10000</v>
      </c>
      <c r="F20" s="1657">
        <f t="shared" si="0"/>
        <v>27</v>
      </c>
    </row>
    <row r="21" spans="1:6">
      <c r="A21" s="316"/>
      <c r="B21" s="1136" t="s">
        <v>84</v>
      </c>
      <c r="C21" s="316" t="s">
        <v>172</v>
      </c>
      <c r="D21" s="1655">
        <v>1E-3</v>
      </c>
      <c r="E21" s="561">
        <f t="shared" si="1"/>
        <v>2500</v>
      </c>
      <c r="F21" s="1657">
        <f t="shared" si="0"/>
        <v>2.5</v>
      </c>
    </row>
    <row r="22" spans="1:6">
      <c r="A22" s="316"/>
      <c r="B22" s="1136" t="s">
        <v>85</v>
      </c>
      <c r="C22" s="316" t="s">
        <v>172</v>
      </c>
      <c r="D22" s="1655">
        <v>1.5E-3</v>
      </c>
      <c r="E22" s="561">
        <f t="shared" si="1"/>
        <v>2000</v>
      </c>
      <c r="F22" s="1657">
        <f t="shared" si="0"/>
        <v>3</v>
      </c>
    </row>
    <row r="23" spans="1:6">
      <c r="A23" s="316"/>
      <c r="B23" s="1136" t="s">
        <v>87</v>
      </c>
      <c r="C23" s="316" t="s">
        <v>130</v>
      </c>
      <c r="D23" s="1655">
        <v>1.1999999999999999E-3</v>
      </c>
      <c r="E23" s="561">
        <f t="shared" si="1"/>
        <v>15000</v>
      </c>
      <c r="F23" s="1657">
        <f t="shared" si="0"/>
        <v>18</v>
      </c>
    </row>
    <row r="24" spans="1:6" ht="63">
      <c r="A24" s="1594">
        <v>2</v>
      </c>
      <c r="B24" s="1138" t="s">
        <v>942</v>
      </c>
      <c r="C24" s="1594" t="s">
        <v>153</v>
      </c>
      <c r="D24" s="1654"/>
      <c r="E24" s="1654"/>
      <c r="F24" s="1656">
        <f>SUM(F25:F29)</f>
        <v>340.2</v>
      </c>
    </row>
    <row r="25" spans="1:6">
      <c r="A25" s="316"/>
      <c r="B25" s="1136" t="s">
        <v>77</v>
      </c>
      <c r="C25" s="316" t="s">
        <v>171</v>
      </c>
      <c r="D25" s="1655">
        <v>5.9999999999999995E-4</v>
      </c>
      <c r="E25" s="561">
        <f>E16</f>
        <v>45000</v>
      </c>
      <c r="F25" s="1657">
        <f t="shared" si="0"/>
        <v>26.999999999999996</v>
      </c>
    </row>
    <row r="26" spans="1:6" s="1777" customFormat="1">
      <c r="A26" s="1199"/>
      <c r="B26" s="830" t="s">
        <v>78</v>
      </c>
      <c r="C26" s="1199" t="s">
        <v>172</v>
      </c>
      <c r="D26" s="1801">
        <v>2.0000000000000001E-4</v>
      </c>
      <c r="E26" s="1802">
        <f>E17</f>
        <v>1450000</v>
      </c>
      <c r="F26" s="1803">
        <f t="shared" si="0"/>
        <v>290</v>
      </c>
    </row>
    <row r="27" spans="1:6">
      <c r="A27" s="316"/>
      <c r="B27" s="1136" t="s">
        <v>80</v>
      </c>
      <c r="C27" s="316" t="s">
        <v>173</v>
      </c>
      <c r="D27" s="1655">
        <v>5.0000000000000001E-4</v>
      </c>
      <c r="E27" s="561">
        <f>E18</f>
        <v>10000</v>
      </c>
      <c r="F27" s="1657">
        <f t="shared" si="0"/>
        <v>5</v>
      </c>
    </row>
    <row r="28" spans="1:6">
      <c r="A28" s="316"/>
      <c r="B28" s="1136" t="s">
        <v>21</v>
      </c>
      <c r="C28" s="316" t="s">
        <v>130</v>
      </c>
      <c r="D28" s="1655">
        <v>1.6000000000000001E-3</v>
      </c>
      <c r="E28" s="561">
        <f>E19</f>
        <v>2000</v>
      </c>
      <c r="F28" s="1657">
        <f t="shared" si="0"/>
        <v>3.2</v>
      </c>
    </row>
    <row r="29" spans="1:6">
      <c r="A29" s="316"/>
      <c r="B29" s="1136" t="s">
        <v>87</v>
      </c>
      <c r="C29" s="316" t="s">
        <v>130</v>
      </c>
      <c r="D29" s="1655">
        <v>1E-3</v>
      </c>
      <c r="E29" s="561">
        <f>E23</f>
        <v>15000</v>
      </c>
      <c r="F29" s="1657">
        <f t="shared" si="0"/>
        <v>15</v>
      </c>
    </row>
    <row r="30" spans="1:6" ht="31.5">
      <c r="A30" s="1594">
        <v>3</v>
      </c>
      <c r="B30" s="1749" t="s">
        <v>1035</v>
      </c>
      <c r="C30" s="1594" t="s">
        <v>1</v>
      </c>
      <c r="D30" s="1654">
        <v>0</v>
      </c>
      <c r="E30" s="1654"/>
      <c r="F30" s="1656">
        <f>SUM(F31:F35)</f>
        <v>169.6</v>
      </c>
    </row>
    <row r="31" spans="1:6">
      <c r="A31" s="316"/>
      <c r="B31" s="1136" t="s">
        <v>77</v>
      </c>
      <c r="C31" s="316" t="s">
        <v>171</v>
      </c>
      <c r="D31" s="1655">
        <v>2.9999999999999997E-4</v>
      </c>
      <c r="E31" s="561">
        <f>E25</f>
        <v>45000</v>
      </c>
      <c r="F31" s="1657">
        <f t="shared" si="0"/>
        <v>13.499999999999998</v>
      </c>
    </row>
    <row r="32" spans="1:6" s="1777" customFormat="1">
      <c r="A32" s="1199"/>
      <c r="B32" s="830" t="s">
        <v>78</v>
      </c>
      <c r="C32" s="1199" t="s">
        <v>172</v>
      </c>
      <c r="D32" s="1801">
        <v>1E-4</v>
      </c>
      <c r="E32" s="1802">
        <f t="shared" ref="E32:E35" si="2">E26</f>
        <v>1450000</v>
      </c>
      <c r="F32" s="1803">
        <f t="shared" si="0"/>
        <v>145</v>
      </c>
    </row>
    <row r="33" spans="1:6">
      <c r="A33" s="316"/>
      <c r="B33" s="1136" t="s">
        <v>80</v>
      </c>
      <c r="C33" s="316" t="s">
        <v>173</v>
      </c>
      <c r="D33" s="1655">
        <v>2.0000000000000001E-4</v>
      </c>
      <c r="E33" s="561">
        <f t="shared" si="2"/>
        <v>10000</v>
      </c>
      <c r="F33" s="1657">
        <f t="shared" si="0"/>
        <v>2</v>
      </c>
    </row>
    <row r="34" spans="1:6">
      <c r="A34" s="316"/>
      <c r="B34" s="1136" t="s">
        <v>21</v>
      </c>
      <c r="C34" s="316" t="s">
        <v>130</v>
      </c>
      <c r="D34" s="1655">
        <v>8.0000000000000004E-4</v>
      </c>
      <c r="E34" s="561">
        <f t="shared" si="2"/>
        <v>2000</v>
      </c>
      <c r="F34" s="1657">
        <f t="shared" si="0"/>
        <v>1.6</v>
      </c>
    </row>
    <row r="35" spans="1:6">
      <c r="A35" s="316"/>
      <c r="B35" s="1136" t="s">
        <v>87</v>
      </c>
      <c r="C35" s="316" t="s">
        <v>130</v>
      </c>
      <c r="D35" s="1655">
        <v>5.0000000000000001E-4</v>
      </c>
      <c r="E35" s="561">
        <f t="shared" si="2"/>
        <v>15000</v>
      </c>
      <c r="F35" s="1657">
        <f t="shared" si="0"/>
        <v>7.5</v>
      </c>
    </row>
    <row r="36" spans="1:6">
      <c r="B36" s="988"/>
      <c r="C36" s="1595"/>
      <c r="D36" s="1595"/>
      <c r="E36" s="1595"/>
      <c r="F36" s="1595"/>
    </row>
    <row r="37" spans="1:6">
      <c r="B37" s="988"/>
      <c r="C37" s="1595"/>
      <c r="D37" s="1595"/>
      <c r="E37" s="1595"/>
      <c r="F37" s="1595"/>
    </row>
  </sheetData>
  <mergeCells count="1">
    <mergeCell ref="A1:F1"/>
  </mergeCells>
  <pageMargins left="0.9055118110236221" right="0.31496062992125984" top="0.74803149606299213" bottom="0.74803149606299213" header="0.31496062992125984" footer="0.31496062992125984"/>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showWhiteSpace="0" topLeftCell="A16" zoomScale="85" zoomScaleNormal="85" zoomScalePageLayoutView="85" workbookViewId="0">
      <selection activeCell="X8" sqref="X8"/>
    </sheetView>
  </sheetViews>
  <sheetFormatPr defaultColWidth="8.875" defaultRowHeight="15.75"/>
  <cols>
    <col min="1" max="1" width="6.625" style="426" customWidth="1"/>
    <col min="2" max="2" width="35" style="425" customWidth="1"/>
    <col min="3" max="3" width="9" style="422" customWidth="1"/>
    <col min="4" max="4" width="9.25" style="422" customWidth="1"/>
    <col min="5" max="5" width="7.625" style="422" customWidth="1"/>
    <col min="6" max="6" width="8" style="422" customWidth="1"/>
    <col min="7" max="7" width="8.625" style="1061" customWidth="1"/>
    <col min="8" max="8" width="6.875" style="1065" customWidth="1"/>
    <col min="9" max="9" width="9.5" style="1066" customWidth="1"/>
    <col min="10" max="10" width="8.375" style="1061" customWidth="1"/>
    <col min="11" max="11" width="10" style="1066" customWidth="1"/>
    <col min="12" max="12" width="11.25" style="1061" hidden="1" customWidth="1"/>
    <col min="13" max="13" width="7.125" style="422" hidden="1" customWidth="1"/>
    <col min="14" max="15" width="8.875" style="422" hidden="1" customWidth="1"/>
    <col min="16" max="16" width="18.5" style="422" hidden="1" customWidth="1"/>
    <col min="17" max="20" width="0" style="422" hidden="1" customWidth="1"/>
    <col min="21" max="16384" width="8.875" style="422"/>
  </cols>
  <sheetData>
    <row r="1" spans="1:20" ht="40.5" customHeight="1">
      <c r="A1" s="1888" t="s">
        <v>1104</v>
      </c>
      <c r="B1" s="1888"/>
      <c r="C1" s="1888"/>
      <c r="D1" s="1888"/>
      <c r="E1" s="1888"/>
      <c r="F1" s="1888"/>
      <c r="G1" s="1888"/>
      <c r="H1" s="1888"/>
      <c r="I1" s="1888"/>
      <c r="J1" s="1888"/>
      <c r="K1" s="1888"/>
      <c r="L1" s="1888"/>
      <c r="M1" s="1888"/>
      <c r="P1" s="422" t="s">
        <v>1114</v>
      </c>
      <c r="Q1" s="422">
        <f>20*8000</f>
        <v>160000</v>
      </c>
    </row>
    <row r="2" spans="1:20">
      <c r="A2" s="1891"/>
      <c r="B2" s="1892"/>
      <c r="C2" s="1892"/>
      <c r="D2" s="1892"/>
      <c r="E2" s="1892"/>
      <c r="F2" s="1893"/>
      <c r="G2" s="433"/>
      <c r="H2" s="433"/>
      <c r="I2" s="1894" t="s">
        <v>265</v>
      </c>
      <c r="J2" s="1894"/>
      <c r="K2" s="1894"/>
      <c r="L2" s="1894"/>
      <c r="P2" s="422" t="s">
        <v>1115</v>
      </c>
      <c r="Q2" s="422">
        <f>+Q1*0.8</f>
        <v>128000</v>
      </c>
      <c r="R2" s="422">
        <f>1600*20</f>
        <v>32000</v>
      </c>
      <c r="S2" s="422">
        <f>+Q2-R2</f>
        <v>96000</v>
      </c>
      <c r="T2" s="422">
        <f>+Q1-R2-S2</f>
        <v>32000</v>
      </c>
    </row>
    <row r="3" spans="1:20" s="431" customFormat="1">
      <c r="A3" s="1878" t="s">
        <v>264</v>
      </c>
      <c r="B3" s="1878" t="s">
        <v>263</v>
      </c>
      <c r="C3" s="1878" t="s">
        <v>1105</v>
      </c>
      <c r="D3" s="1899" t="s">
        <v>256</v>
      </c>
      <c r="E3" s="1899"/>
      <c r="F3" s="1899"/>
      <c r="G3" s="1899"/>
      <c r="H3" s="1899"/>
      <c r="I3" s="1899"/>
      <c r="J3" s="1879" t="s">
        <v>1111</v>
      </c>
      <c r="K3" s="1896" t="s">
        <v>1136</v>
      </c>
      <c r="L3" s="1885" t="s">
        <v>1107</v>
      </c>
      <c r="M3" s="1885" t="s">
        <v>1108</v>
      </c>
      <c r="N3" s="1889" t="s">
        <v>1109</v>
      </c>
      <c r="O3" s="1890" t="s">
        <v>1110</v>
      </c>
      <c r="Q3" s="431">
        <f>+Q1-Q2</f>
        <v>32000</v>
      </c>
    </row>
    <row r="4" spans="1:20" s="431" customFormat="1">
      <c r="A4" s="1878"/>
      <c r="B4" s="1878"/>
      <c r="C4" s="1878"/>
      <c r="D4" s="1878" t="s">
        <v>1106</v>
      </c>
      <c r="E4" s="1879" t="s">
        <v>168</v>
      </c>
      <c r="F4" s="1879" t="s">
        <v>166</v>
      </c>
      <c r="G4" s="1895" t="s">
        <v>167</v>
      </c>
      <c r="H4" s="1895"/>
      <c r="I4" s="1878" t="s">
        <v>783</v>
      </c>
      <c r="J4" s="1879"/>
      <c r="K4" s="1897"/>
      <c r="L4" s="1886"/>
      <c r="M4" s="1886"/>
      <c r="N4" s="1889"/>
      <c r="O4" s="1890"/>
    </row>
    <row r="5" spans="1:20" s="431" customFormat="1" ht="31.5">
      <c r="A5" s="1878"/>
      <c r="B5" s="1878" t="s">
        <v>249</v>
      </c>
      <c r="C5" s="1878"/>
      <c r="D5" s="1878"/>
      <c r="E5" s="1879"/>
      <c r="F5" s="1879"/>
      <c r="G5" s="1808" t="s">
        <v>251</v>
      </c>
      <c r="H5" s="1808" t="s">
        <v>250</v>
      </c>
      <c r="I5" s="1878"/>
      <c r="J5" s="1879"/>
      <c r="K5" s="1898" t="s">
        <v>249</v>
      </c>
      <c r="L5" s="1887" t="s">
        <v>249</v>
      </c>
      <c r="M5" s="1887"/>
      <c r="N5" s="1889"/>
      <c r="O5" s="1890"/>
    </row>
    <row r="6" spans="1:20">
      <c r="A6" s="1523" t="s">
        <v>248</v>
      </c>
      <c r="B6" s="1539" t="s">
        <v>247</v>
      </c>
      <c r="C6" s="429"/>
      <c r="D6" s="1525"/>
      <c r="E6" s="1514"/>
      <c r="F6" s="1514"/>
      <c r="G6" s="1525"/>
      <c r="H6" s="1525"/>
      <c r="I6" s="1525"/>
      <c r="J6" s="1525"/>
      <c r="K6" s="1525"/>
      <c r="L6" s="1568"/>
      <c r="M6" s="1568"/>
    </row>
    <row r="7" spans="1:20">
      <c r="A7" s="1526">
        <f>'Nhân công'!A4</f>
        <v>1</v>
      </c>
      <c r="B7" s="1527" t="str">
        <f>'Nhân công'!B4</f>
        <v>Công tác chuẩn bị</v>
      </c>
      <c r="C7" s="1524"/>
      <c r="D7" s="1515"/>
      <c r="E7" s="1515"/>
      <c r="F7" s="1515"/>
      <c r="G7" s="1515"/>
      <c r="H7" s="1515"/>
      <c r="I7" s="1528"/>
      <c r="J7" s="1515"/>
      <c r="K7" s="1542"/>
      <c r="L7" s="1536"/>
      <c r="M7" s="1541"/>
    </row>
    <row r="8" spans="1:20" ht="99.75" customHeight="1">
      <c r="A8" s="429" t="str">
        <f>'Nhân công'!A5</f>
        <v>1.1</v>
      </c>
      <c r="B8" s="428" t="str">
        <f>'Nhân công'!B5</f>
        <v>Lập kế hoạch thi công chi tiết: xác định thời gian, địa điểm, khối lượng và nhân lực thực hiện của từng bước công việc; lập kế hoạch làm việc với các đơn vị có liên quan đến công tác xây dựng CSDL địa chính trên địa bàn thi công</v>
      </c>
      <c r="C8" s="1524" t="str">
        <f>'Nhân công'!C5</f>
        <v>Thửa</v>
      </c>
      <c r="D8" s="1525">
        <f>'Nhân công'!G5</f>
        <v>383.76955769230767</v>
      </c>
      <c r="E8" s="1525">
        <f>'Dụng cụ'!E15</f>
        <v>3.3628014969230775</v>
      </c>
      <c r="F8" s="1525">
        <f>'Vật liệu'!E18</f>
        <v>3.7193579999999997</v>
      </c>
      <c r="G8" s="1525">
        <f>'Thiết bị'!I5</f>
        <v>3.5</v>
      </c>
      <c r="H8" s="1525">
        <f>'Thiết bị'!I8</f>
        <v>6.7439999999999998</v>
      </c>
      <c r="I8" s="1528">
        <f>SUM(D8:H8)</f>
        <v>401.09571718923075</v>
      </c>
      <c r="J8" s="1525">
        <f>I8*0.15</f>
        <v>60.16435757838461</v>
      </c>
      <c r="K8" s="1528">
        <f>I8+J8</f>
        <v>461.26007476761538</v>
      </c>
      <c r="L8" s="1543">
        <f>K8-G8</f>
        <v>457.76007476761538</v>
      </c>
      <c r="M8" s="1583">
        <f>+N8+O8</f>
        <v>6.5903846153846155</v>
      </c>
      <c r="N8" s="1540">
        <f>L_CBan!$K$62*'Nhân công'!E5</f>
        <v>5.7307692307692308</v>
      </c>
      <c r="O8" s="422">
        <f>+N8*0.15</f>
        <v>0.85961538461538456</v>
      </c>
      <c r="P8" s="422">
        <f>+K8*$Q$1</f>
        <v>73801611.962818459</v>
      </c>
      <c r="R8" s="1788">
        <f>SUM(D8:D45)</f>
        <v>124897.58893653844</v>
      </c>
    </row>
    <row r="9" spans="1:20" ht="63">
      <c r="A9" s="429" t="str">
        <f>'Nhân công'!A6</f>
        <v>1.2</v>
      </c>
      <c r="B9" s="428" t="str">
        <f>'Nhân công'!B6</f>
        <v>Chuẩn bị nhân lực, địa điểm làm việc; chuẩn bị vật tư, thiết bị, dụng cụ, phần mềm phục vụ cho công tác xây dựng CSDL địa chính.</v>
      </c>
      <c r="C9" s="1524" t="str">
        <f>'Nhân công'!C6</f>
        <v>Thửa</v>
      </c>
      <c r="D9" s="1525">
        <f>'Nhân công'!G6</f>
        <v>365.36805769230773</v>
      </c>
      <c r="E9" s="1525">
        <f>'Dụng cụ'!E16</f>
        <v>3.3628014969230775</v>
      </c>
      <c r="F9" s="1525">
        <f>'Vật liệu'!E19</f>
        <v>3.7193579999999997</v>
      </c>
      <c r="G9" s="1525">
        <f>'Thiết bị'!I9</f>
        <v>3.5</v>
      </c>
      <c r="H9" s="1525">
        <f>'Thiết bị'!I12</f>
        <v>6.7439999999999998</v>
      </c>
      <c r="I9" s="1528">
        <f>SUM(D9:H9)</f>
        <v>382.69421718923081</v>
      </c>
      <c r="J9" s="1525">
        <f t="shared" ref="J9" si="0">I9*0.15</f>
        <v>57.404132578384619</v>
      </c>
      <c r="K9" s="1528">
        <f>I9+J9</f>
        <v>440.09834976761545</v>
      </c>
      <c r="L9" s="1543">
        <f>K9-G9</f>
        <v>436.59834976761545</v>
      </c>
      <c r="M9" s="1544">
        <f t="shared" ref="M9:M54" si="1">+N9+O9</f>
        <v>6.5903846153846155</v>
      </c>
      <c r="N9" s="1540">
        <f>L_CBan!$K$62*'Nhân công'!E6</f>
        <v>5.7307692307692308</v>
      </c>
      <c r="O9" s="422">
        <f t="shared" ref="O9:O45" si="2">+N9*0.15</f>
        <v>0.85961538461538456</v>
      </c>
      <c r="P9" s="422">
        <f>+K9*$Q$1</f>
        <v>70415735.962818474</v>
      </c>
      <c r="R9" s="1788">
        <f>SUM(E8:E45)</f>
        <v>1921.6617060783697</v>
      </c>
    </row>
    <row r="10" spans="1:20" ht="24.75" customHeight="1">
      <c r="A10" s="1526">
        <f>'Nhân công'!A7</f>
        <v>2</v>
      </c>
      <c r="B10" s="1527" t="str">
        <f>'Nhân công'!B7</f>
        <v>Thu thập tài liệu, dữ liệu</v>
      </c>
      <c r="C10" s="1524" t="str">
        <f>'Nhân công'!C7</f>
        <v>Thửa</v>
      </c>
      <c r="D10" s="1177">
        <f>'Nhân công'!G7</f>
        <v>1477.1504692307694</v>
      </c>
      <c r="E10" s="1177">
        <f>'Dụng cụ'!E17</f>
        <v>12.666552305076923</v>
      </c>
      <c r="F10" s="1177">
        <f>'Vật liệu'!E20</f>
        <v>14.009581799999998</v>
      </c>
      <c r="G10" s="1177">
        <f>'Thiết bị'!I17</f>
        <v>12.9</v>
      </c>
      <c r="H10" s="1177">
        <f>'Thiết bị'!I20</f>
        <v>24.278399999999998</v>
      </c>
      <c r="I10" s="1536">
        <f>SUM(D10:H10)</f>
        <v>1541.0050033358464</v>
      </c>
      <c r="J10" s="1177">
        <f>I10*0.15</f>
        <v>231.15075050037694</v>
      </c>
      <c r="K10" s="1536">
        <f>I10+J10</f>
        <v>1772.1557538362233</v>
      </c>
      <c r="L10" s="1536">
        <f>K10-G10</f>
        <v>1759.2557538362232</v>
      </c>
      <c r="M10" s="1584">
        <f t="shared" si="1"/>
        <v>25.043461538461536</v>
      </c>
      <c r="N10" s="1540">
        <f>L_CBan!$K$62*'Nhân công'!E7</f>
        <v>21.776923076923076</v>
      </c>
      <c r="O10" s="422">
        <f t="shared" si="2"/>
        <v>3.2665384615384614</v>
      </c>
      <c r="P10" s="422">
        <f>+K10*$Q$1</f>
        <v>283544920.61379576</v>
      </c>
      <c r="R10" s="1788">
        <f>SUM(F8:F45)</f>
        <v>2129.4547312399995</v>
      </c>
    </row>
    <row r="11" spans="1:20" ht="31.5">
      <c r="A11" s="1526">
        <f>'Nhân công'!A8</f>
        <v>3</v>
      </c>
      <c r="B11" s="1527" t="str">
        <f>'Nhân công'!B8</f>
        <v xml:space="preserve">Rà soát, đánh giá, phân loại và sắp xếp tài liệu, dữ liệu </v>
      </c>
      <c r="C11" s="1524"/>
      <c r="D11" s="1515"/>
      <c r="E11" s="1515"/>
      <c r="F11" s="1515"/>
      <c r="G11" s="1515"/>
      <c r="H11" s="1515"/>
      <c r="I11" s="1515"/>
      <c r="J11" s="1515"/>
      <c r="K11" s="1542"/>
      <c r="L11" s="1536"/>
      <c r="M11" s="1544"/>
      <c r="N11" s="1540"/>
      <c r="P11" s="422">
        <f t="shared" ref="P11:P13" si="3">+K11*$Q$1</f>
        <v>0</v>
      </c>
    </row>
    <row r="12" spans="1:20" ht="31.5">
      <c r="A12" s="429" t="str">
        <f>'Nhân công'!A9</f>
        <v>3.1</v>
      </c>
      <c r="B12" s="428" t="str">
        <f>'Nhân công'!B9</f>
        <v>Rà soát, đánh giá tài liệu, dữ liệu; lập báo cáo kết quả thực hiện</v>
      </c>
      <c r="C12" s="1524" t="str">
        <f>'Nhân công'!C9</f>
        <v>Thửa</v>
      </c>
      <c r="D12" s="1525">
        <f>'Nhân công'!G9</f>
        <v>1152.7442307692309</v>
      </c>
      <c r="E12" s="1525">
        <f>'Dụng cụ'!E19</f>
        <v>17.93494131692308</v>
      </c>
      <c r="F12" s="1525">
        <f>'Vật liệu'!E22</f>
        <v>19.836575999999997</v>
      </c>
      <c r="G12" s="1528">
        <f>'Thiết bị'!I22</f>
        <v>18.399999999999999</v>
      </c>
      <c r="H12" s="1528">
        <f>'Thiết bị'!I25</f>
        <v>33.72</v>
      </c>
      <c r="I12" s="1528">
        <f>SUM(D12:H12)</f>
        <v>1242.6357480861541</v>
      </c>
      <c r="J12" s="1525">
        <f>I12*0.15</f>
        <v>186.39536221292312</v>
      </c>
      <c r="K12" s="1528">
        <f>I12+J12</f>
        <v>1429.0311102990772</v>
      </c>
      <c r="L12" s="1543">
        <f>K12-G12</f>
        <v>1410.6311102990771</v>
      </c>
      <c r="M12" s="1544">
        <f t="shared" si="1"/>
        <v>35.588076923076919</v>
      </c>
      <c r="N12" s="1540">
        <f>L_CBan!$K$62*'Nhân công'!E9</f>
        <v>30.946153846153845</v>
      </c>
      <c r="O12" s="422">
        <f t="shared" si="2"/>
        <v>4.6419230769230762</v>
      </c>
      <c r="P12" s="422">
        <f t="shared" si="3"/>
        <v>228644977.64785236</v>
      </c>
      <c r="R12" s="1788">
        <f>SUM(G8:G45)</f>
        <v>12888.775879999997</v>
      </c>
    </row>
    <row r="13" spans="1:20" s="431" customFormat="1" ht="24" customHeight="1">
      <c r="A13" s="429" t="str">
        <f>'Nhân công'!A10</f>
        <v>3.2</v>
      </c>
      <c r="B13" s="428" t="str">
        <f>'Nhân công'!B10</f>
        <v>Phân loại thửa đất; lập biểu tổng hợp</v>
      </c>
      <c r="C13" s="1524" t="str">
        <f>'Nhân công'!C10</f>
        <v>Thửa</v>
      </c>
      <c r="D13" s="1525">
        <f>'Nhân công'!G10</f>
        <v>1344.8682692307693</v>
      </c>
      <c r="E13" s="1525">
        <f>'Dụng cụ'!E20</f>
        <v>20.961462664153849</v>
      </c>
      <c r="F13" s="1525">
        <f>'Vật liệu'!E23</f>
        <v>23.183998199999998</v>
      </c>
      <c r="G13" s="1537">
        <f>'Thiết bị'!I26</f>
        <v>21.2</v>
      </c>
      <c r="H13" s="1537">
        <f>'Thiết bị'!I29</f>
        <v>39.115199999999994</v>
      </c>
      <c r="I13" s="1528">
        <f>SUM(D13:H13)</f>
        <v>1449.3289300949232</v>
      </c>
      <c r="J13" s="1525">
        <f>I13*0.15</f>
        <v>217.39933951423848</v>
      </c>
      <c r="K13" s="1528">
        <f>I13+J13</f>
        <v>1666.7282696091615</v>
      </c>
      <c r="L13" s="1543">
        <f>K13-G13</f>
        <v>1645.5282696091615</v>
      </c>
      <c r="M13" s="1544">
        <f t="shared" si="1"/>
        <v>41.519423076923069</v>
      </c>
      <c r="N13" s="1540">
        <f>L_CBan!$K$62*'Nhân công'!E10</f>
        <v>36.103846153846149</v>
      </c>
      <c r="O13" s="422">
        <f t="shared" si="2"/>
        <v>5.4155769230769222</v>
      </c>
      <c r="P13" s="422">
        <f t="shared" si="3"/>
        <v>266676523.13746583</v>
      </c>
      <c r="R13" s="1790">
        <f>SUM(H8:H45)</f>
        <v>5357.1206784000015</v>
      </c>
    </row>
    <row r="14" spans="1:20" s="431" customFormat="1" ht="180.75" customHeight="1">
      <c r="A14" s="429" t="str">
        <f>'Nhân công'!A11</f>
        <v>3.3</v>
      </c>
      <c r="B14" s="428" t="str">
        <f>'Nhân công'!B11</f>
        <v>Làm sạch, sắp xếp và đánh số thứ tự theo quy định về hồ sơ địa chính đối với Hồ sơ đăng ký đất đai, tài sản gắn liền với đất (Chỉ thực hiện đối với các thửa đã được cấp GCN; trường hợp tổ chức xây dựng CSDL đất đai kết hợp với tổ chức sắp xếp lại kho lưu trữ tài liệu đất đai thì định mức sắp xếp kho lưu trữ được tính theo định mức kinh tế - kỹ thuật về lưu trữ tài liệu đất đai và định mức xây dựng CSDL đất đai không tính nội dung công việc này)</v>
      </c>
      <c r="C14" s="1524" t="str">
        <f>'Nhân công'!C11</f>
        <v>Thửa</v>
      </c>
      <c r="D14" s="1525">
        <f>'Nhân công'!G11</f>
        <v>2354.5598923076923</v>
      </c>
      <c r="E14" s="1525">
        <f>'Dụng cụ'!E21</f>
        <v>22.642863412615387</v>
      </c>
      <c r="F14" s="1525">
        <f>'Vật liệu'!E24</f>
        <v>29.083677199999993</v>
      </c>
      <c r="G14" s="1537">
        <f>'Thiết bị'!I30</f>
        <v>23.1</v>
      </c>
      <c r="H14" s="1537">
        <f>'Thiết bị'!I33</f>
        <v>43.1616</v>
      </c>
      <c r="I14" s="1528">
        <f>SUM(D14:H14)</f>
        <v>2472.5480329203074</v>
      </c>
      <c r="J14" s="1525">
        <f>I14*0.15</f>
        <v>370.88220493804607</v>
      </c>
      <c r="K14" s="1528">
        <f>I14+J14</f>
        <v>2843.4302378583534</v>
      </c>
      <c r="L14" s="1543">
        <f>K14-G14</f>
        <v>2820.3302378583535</v>
      </c>
      <c r="M14" s="1544">
        <f t="shared" si="1"/>
        <v>44.814615384615379</v>
      </c>
      <c r="N14" s="1540">
        <f>L_CBan!$K$62*'Nhân công'!E11</f>
        <v>38.969230769230762</v>
      </c>
      <c r="O14" s="422">
        <f t="shared" si="2"/>
        <v>5.8453846153846145</v>
      </c>
      <c r="P14" s="422">
        <f>+K14*$Q$2</f>
        <v>363959070.44586921</v>
      </c>
    </row>
    <row r="15" spans="1:20" ht="29.25" customHeight="1">
      <c r="A15" s="1526">
        <f>'Nhân công'!A12</f>
        <v>4</v>
      </c>
      <c r="B15" s="1527" t="str">
        <f>'Nhân công'!B12</f>
        <v>Xây dựng dữ liệu không gian địa chính</v>
      </c>
      <c r="C15" s="1529"/>
      <c r="D15" s="1515"/>
      <c r="E15" s="1515"/>
      <c r="F15" s="1515"/>
      <c r="G15" s="1515"/>
      <c r="H15" s="1515"/>
      <c r="I15" s="1515"/>
      <c r="J15" s="1515"/>
      <c r="K15" s="1542"/>
      <c r="L15" s="1536"/>
      <c r="M15" s="1544"/>
      <c r="N15" s="1540"/>
    </row>
    <row r="16" spans="1:20" ht="31.5">
      <c r="A16" s="429" t="str">
        <f>'Nhân công'!A13</f>
        <v>4.1</v>
      </c>
      <c r="B16" s="428" t="str">
        <f>'Nhân công'!B13</f>
        <v>Chuẩn hóa các lớp đối tượng không gian địa chính</v>
      </c>
      <c r="C16" s="1524"/>
      <c r="D16" s="1525"/>
      <c r="E16" s="1525"/>
      <c r="F16" s="1525"/>
      <c r="G16" s="1528"/>
      <c r="H16" s="1528"/>
      <c r="I16" s="1528"/>
      <c r="J16" s="1525"/>
      <c r="K16" s="1528"/>
      <c r="L16" s="1543"/>
      <c r="M16" s="1544"/>
      <c r="N16" s="1540"/>
    </row>
    <row r="17" spans="1:16" ht="63">
      <c r="A17" s="429" t="s">
        <v>64</v>
      </c>
      <c r="B17" s="428" t="str">
        <f>'Nhân công'!B14</f>
        <v>Lập bảng đối chiếu giữa lớp đối tượng không gian địa chính với nội dung tương ứng trong bản đồ địa chính để tách, lọc các đối tượng từ nội dung bản đồ địa chính</v>
      </c>
      <c r="C17" s="1524" t="str">
        <f>'Nhân công'!C14</f>
        <v>Thửa</v>
      </c>
      <c r="D17" s="1525">
        <f>'Nhân công'!G14</f>
        <v>277.51249999999999</v>
      </c>
      <c r="E17" s="1525">
        <f>'Dụng cụ'!E24</f>
        <v>4.3716419460000004</v>
      </c>
      <c r="F17" s="1525">
        <f>'Vật liệu'!E27</f>
        <v>4.8351653999999993</v>
      </c>
      <c r="G17" s="1528">
        <f>'Thiết bị'!I36</f>
        <v>63.1</v>
      </c>
      <c r="H17" s="1528">
        <f>'Thiết bị'!I40</f>
        <v>8.0927999999999987</v>
      </c>
      <c r="I17" s="1528">
        <f>SUM(D17:H17)</f>
        <v>357.91210734600003</v>
      </c>
      <c r="J17" s="1525">
        <f t="shared" ref="J17:J38" si="4">I17*0.15</f>
        <v>53.6868161019</v>
      </c>
      <c r="K17" s="1528">
        <f>I17+J17</f>
        <v>411.59892344790001</v>
      </c>
      <c r="L17" s="1543">
        <f>K17-G17</f>
        <v>348.49892344789998</v>
      </c>
      <c r="M17" s="1544">
        <f t="shared" si="1"/>
        <v>8.567499999999999</v>
      </c>
      <c r="N17" s="1540">
        <f>L_CBan!$K$62*'Nhân công'!E14</f>
        <v>7.4499999999999993</v>
      </c>
      <c r="O17" s="422">
        <f t="shared" si="2"/>
        <v>1.1174999999999999</v>
      </c>
      <c r="P17" s="422">
        <f>+K17*$Q$1</f>
        <v>65855827.751663998</v>
      </c>
    </row>
    <row r="18" spans="1:16" ht="47.25">
      <c r="A18" s="429" t="s">
        <v>65</v>
      </c>
      <c r="B18" s="428" t="str">
        <f>'Nhân công'!B15</f>
        <v>Chuẩn hóa các lớp đối tượng không gian địa chính chưa phù hợp với quy định kỹ thuật về CSDL đất đai</v>
      </c>
      <c r="C18" s="1524" t="str">
        <f>'Nhân công'!C15</f>
        <v>Thửa</v>
      </c>
      <c r="D18" s="1525">
        <f>'Nhân công'!G15</f>
        <v>1451.603846153846</v>
      </c>
      <c r="E18" s="1525">
        <f>'Dụng cụ'!E25</f>
        <v>22.642863412615387</v>
      </c>
      <c r="F18" s="1525">
        <f>'Vật liệu'!E28</f>
        <v>25.043677199999994</v>
      </c>
      <c r="G18" s="1528">
        <f>'Thiết bị'!I41</f>
        <v>340.62000000000006</v>
      </c>
      <c r="H18" s="1528">
        <f>'Thiết bị'!I45</f>
        <v>43.1616</v>
      </c>
      <c r="I18" s="1528">
        <f>SUM(D18:H18)</f>
        <v>1883.0719867664616</v>
      </c>
      <c r="J18" s="1525">
        <f t="shared" si="4"/>
        <v>282.46079801496921</v>
      </c>
      <c r="K18" s="1528">
        <f>I18+J18</f>
        <v>2165.5327847814306</v>
      </c>
      <c r="L18" s="1543">
        <f>K18-G18</f>
        <v>1824.9127847814304</v>
      </c>
      <c r="M18" s="1544">
        <f t="shared" si="1"/>
        <v>44.814615384615379</v>
      </c>
      <c r="N18" s="1540">
        <f>L_CBan!$K$62*'Nhân công'!E15</f>
        <v>38.969230769230762</v>
      </c>
      <c r="O18" s="422">
        <f t="shared" si="2"/>
        <v>5.8453846153846145</v>
      </c>
      <c r="P18" s="422">
        <f t="shared" ref="P18:P20" si="5">+K18*$Q$1</f>
        <v>346485245.56502891</v>
      </c>
    </row>
    <row r="19" spans="1:16" ht="47.25">
      <c r="A19" s="429" t="s">
        <v>916</v>
      </c>
      <c r="B19" s="428" t="str">
        <f>'Nhân công'!B16</f>
        <v>Rà soát chuẩn hóa thông tin thuộc tính cho từng đối tượng không gian địa chính theo quy định kỹ thuật về CSDL đất đai</v>
      </c>
      <c r="C19" s="1524" t="str">
        <f>'Nhân công'!C16</f>
        <v>Thửa</v>
      </c>
      <c r="D19" s="1525">
        <f>'Nhân công'!G16</f>
        <v>2668.3894230769233</v>
      </c>
      <c r="E19" s="1525">
        <f>'Dụng cụ'!E26</f>
        <v>41.586645178615392</v>
      </c>
      <c r="F19" s="1525">
        <f>'Vật liệu'!E29</f>
        <v>45.996060599999993</v>
      </c>
      <c r="G19" s="1528">
        <f>'Thiết bị'!I46</f>
        <v>630.4</v>
      </c>
      <c r="H19" s="1528">
        <f>'Thiết bị'!I50</f>
        <v>78.230399999999989</v>
      </c>
      <c r="I19" s="1528">
        <f>SUM(D19:H19)</f>
        <v>3464.6025288555388</v>
      </c>
      <c r="J19" s="1525">
        <f t="shared" si="4"/>
        <v>519.69037932833078</v>
      </c>
      <c r="K19" s="1528">
        <f>I19+J19</f>
        <v>3984.2929081838697</v>
      </c>
      <c r="L19" s="1543">
        <f>K19-G19</f>
        <v>3353.8929081838696</v>
      </c>
      <c r="M19" s="1544">
        <f t="shared" si="1"/>
        <v>82.379807692307693</v>
      </c>
      <c r="N19" s="1540">
        <f>L_CBan!$K$62*'Nhân công'!E16</f>
        <v>71.634615384615387</v>
      </c>
      <c r="O19" s="422">
        <f t="shared" si="2"/>
        <v>10.745192307692308</v>
      </c>
      <c r="P19" s="422">
        <f t="shared" si="5"/>
        <v>637486865.30941916</v>
      </c>
    </row>
    <row r="20" spans="1:16" ht="63">
      <c r="A20" s="429" t="str">
        <f>'Nhân công'!A17</f>
        <v>4.2</v>
      </c>
      <c r="B20" s="428" t="str">
        <f>'Nhân công'!B17</f>
        <v>Chuyển đổi các lớp đối tượng không gian địa chính từ tệp (File) bản đồ số vào CSDL theo phạm vi đơn vị hành chính cấp xã</v>
      </c>
      <c r="C20" s="1524" t="str">
        <f>'Nhân công'!C17</f>
        <v>Thửa</v>
      </c>
      <c r="D20" s="1525">
        <f>'Nhân công'!G17</f>
        <v>355.24035576923075</v>
      </c>
      <c r="E20" s="1525">
        <f>'Dụng cụ'!E27</f>
        <v>4.9321088621538474</v>
      </c>
      <c r="F20" s="1525">
        <f>'Vật liệu'!E30</f>
        <v>5.4550583999999995</v>
      </c>
      <c r="G20" s="1528">
        <f>'Thiết bị'!I51</f>
        <v>101.87999999999998</v>
      </c>
      <c r="H20" s="1528">
        <f>'Thiết bị'!I57</f>
        <v>13.488</v>
      </c>
      <c r="I20" s="1528">
        <f>SUM(D20:H20)</f>
        <v>480.99552303138455</v>
      </c>
      <c r="J20" s="1525">
        <f t="shared" si="4"/>
        <v>72.149328454707685</v>
      </c>
      <c r="K20" s="1528">
        <f>I20+J20</f>
        <v>553.14485148609219</v>
      </c>
      <c r="L20" s="1543">
        <f>K20-G20</f>
        <v>451.2648514860922</v>
      </c>
      <c r="M20" s="1544">
        <f t="shared" si="1"/>
        <v>9.8855769230769237</v>
      </c>
      <c r="N20" s="1540">
        <f>L_CBan!$K$62*'Nhân công'!E17</f>
        <v>8.5961538461538467</v>
      </c>
      <c r="O20" s="422">
        <f t="shared" si="2"/>
        <v>1.289423076923077</v>
      </c>
      <c r="P20" s="422">
        <f t="shared" si="5"/>
        <v>88503176.237774745</v>
      </c>
    </row>
    <row r="21" spans="1:16" s="431" customFormat="1" ht="20.25" customHeight="1">
      <c r="A21" s="429" t="str">
        <f>'Nhân công'!A18</f>
        <v>4.3</v>
      </c>
      <c r="B21" s="428" t="str">
        <f>'Nhân công'!B18</f>
        <v>Đối với khu vực chưa có bản đồ đia chính</v>
      </c>
      <c r="C21" s="1524"/>
      <c r="D21" s="1525"/>
      <c r="E21" s="1525"/>
      <c r="F21" s="1525"/>
      <c r="G21" s="1528"/>
      <c r="H21" s="1528"/>
      <c r="I21" s="1528"/>
      <c r="J21" s="1525"/>
      <c r="K21" s="1528"/>
      <c r="L21" s="1543"/>
      <c r="M21" s="1544"/>
      <c r="N21" s="1540"/>
      <c r="O21" s="422"/>
    </row>
    <row r="22" spans="1:16" s="431" customFormat="1" ht="47.25">
      <c r="A22" s="429" t="str">
        <f>'Nhân công'!A19</f>
        <v>4.3.1</v>
      </c>
      <c r="B22" s="1538" t="str">
        <f>'Nhân công'!B19</f>
        <v>Chuyển đổi bản trích đo địa chính theo hệ tọa độ quốc gia VN-2000 vào dữ liệu không gian địa chính</v>
      </c>
      <c r="C22" s="1524" t="str">
        <f>'Nhân công'!C19</f>
        <v>Thửa</v>
      </c>
      <c r="D22" s="1525">
        <f>'Nhân công'!G19</f>
        <v>5336.7788461538466</v>
      </c>
      <c r="E22" s="1525">
        <f>'Dụng cụ'!E29</f>
        <v>83.173290357230783</v>
      </c>
      <c r="F22" s="1525">
        <f>'Vật liệu'!E32</f>
        <v>91.992121199999985</v>
      </c>
      <c r="G22" s="1528">
        <f>'Thiết bị'!I59</f>
        <v>3395.9</v>
      </c>
      <c r="H22" s="1528">
        <f>'Thiết bị'!I65</f>
        <v>449.15040000000005</v>
      </c>
      <c r="I22" s="1528">
        <f>SUM(D22:H22)</f>
        <v>9356.9946577110786</v>
      </c>
      <c r="J22" s="1525">
        <f t="shared" ref="J22" si="6">I22*0.15</f>
        <v>1403.5491986566617</v>
      </c>
      <c r="K22" s="1528">
        <f t="shared" ref="K22" si="7">I22+J22</f>
        <v>10760.54385636774</v>
      </c>
      <c r="L22" s="1543">
        <f>K22-G22</f>
        <v>7364.6438563677402</v>
      </c>
      <c r="M22" s="1544">
        <f>+N22+O22</f>
        <v>164.75961538461539</v>
      </c>
      <c r="N22" s="1540">
        <f>L_CBan!$K$62*'Nhân công'!E19</f>
        <v>143.26923076923077</v>
      </c>
      <c r="O22" s="422">
        <f t="shared" si="2"/>
        <v>21.490384615384617</v>
      </c>
    </row>
    <row r="23" spans="1:16" s="431" customFormat="1" ht="78.75">
      <c r="A23" s="429" t="str">
        <f>'Nhân công'!A20</f>
        <v>4.3.2</v>
      </c>
      <c r="B23" s="428" t="str">
        <f>'Nhân công'!B20</f>
        <v>Chuyển đổi vào dữ liệu không gian địa chính và định vị trên dữ liệu không gian đất đai nền sơ đồ, bản trích đo địa chính chưa theo hệ tọa độ quốc gia VN-2000 hoặc bản đồ giải thửa dạng số</v>
      </c>
      <c r="C23" s="1524" t="str">
        <f>'Nhân công'!C20</f>
        <v>Thửa</v>
      </c>
      <c r="D23" s="1525">
        <f>'Nhân công'!G20</f>
        <v>10673.557692307693</v>
      </c>
      <c r="E23" s="1525">
        <f>'Dụng cụ'!E30</f>
        <v>166.23448733123078</v>
      </c>
      <c r="F23" s="1525">
        <f>'Vật liệu'!E33</f>
        <v>183.86026379999996</v>
      </c>
      <c r="G23" s="1528">
        <f>'Thiết bị'!I66</f>
        <v>1698.1</v>
      </c>
      <c r="H23" s="1528">
        <f>'Thiết bị'!I72</f>
        <v>225.24959999999999</v>
      </c>
      <c r="I23" s="1528">
        <f>SUM(D23:H23)</f>
        <v>12947.002043438923</v>
      </c>
      <c r="J23" s="1525">
        <f t="shared" ref="J23:J24" si="8">I23*0.15</f>
        <v>1942.0503065158382</v>
      </c>
      <c r="K23" s="1528">
        <f t="shared" ref="K23:K24" si="9">I23+J23</f>
        <v>14889.05234995476</v>
      </c>
      <c r="L23" s="1543">
        <f t="shared" ref="L23:L24" si="10">K23-G23</f>
        <v>13190.952349954759</v>
      </c>
      <c r="M23" s="1544">
        <f t="shared" si="1"/>
        <v>329.51923076923077</v>
      </c>
      <c r="N23" s="1540">
        <f>L_CBan!$K$62*'Nhân công'!E20</f>
        <v>286.53846153846155</v>
      </c>
      <c r="O23" s="422">
        <f t="shared" si="2"/>
        <v>42.980769230769234</v>
      </c>
    </row>
    <row r="24" spans="1:16" s="431" customFormat="1" ht="63">
      <c r="A24" s="429" t="str">
        <f>'Nhân công'!A21</f>
        <v>4.3.3</v>
      </c>
      <c r="B24" s="428" t="str">
        <f>'Nhân công'!B21</f>
        <v xml:space="preserve"> Quét và định vị sơ bộ trên dữ liệu không gian đất đai nền sơ đồ, bản trích đo địa chính theo hệ tọa độ giả định hoặc bản đồ giải thửa dạng giấy</v>
      </c>
      <c r="C24" s="1524" t="str">
        <f>'Nhân công'!C21</f>
        <v>Thửa</v>
      </c>
      <c r="D24" s="1525">
        <f>'Nhân công'!G21</f>
        <v>5336.7788461538466</v>
      </c>
      <c r="E24" s="1525">
        <f>'Dụng cụ'!E31</f>
        <v>83.173290357230783</v>
      </c>
      <c r="F24" s="1525">
        <f>'Vật liệu'!E34</f>
        <v>91.992121199999985</v>
      </c>
      <c r="G24" s="1528">
        <f>'Thiết bị'!I73</f>
        <v>1698.1</v>
      </c>
      <c r="H24" s="1528">
        <f>'Thiết bị'!I79</f>
        <v>225.24959999999999</v>
      </c>
      <c r="I24" s="1528">
        <f>SUM(D24:H24)</f>
        <v>7435.2938577110772</v>
      </c>
      <c r="J24" s="1525">
        <f t="shared" si="8"/>
        <v>1115.2940786566614</v>
      </c>
      <c r="K24" s="1528">
        <f t="shared" si="9"/>
        <v>8550.5879363677377</v>
      </c>
      <c r="L24" s="1543">
        <f t="shared" si="10"/>
        <v>6852.4879363677373</v>
      </c>
      <c r="M24" s="1544">
        <f t="shared" si="1"/>
        <v>164.75961538461539</v>
      </c>
      <c r="N24" s="1540">
        <f>L_CBan!$K$62*'Nhân công'!E21</f>
        <v>143.26923076923077</v>
      </c>
      <c r="O24" s="422">
        <f t="shared" si="2"/>
        <v>21.490384615384617</v>
      </c>
    </row>
    <row r="25" spans="1:16" ht="47.25">
      <c r="A25" s="429" t="str">
        <f>'Nhân công'!A22</f>
        <v>4.4</v>
      </c>
      <c r="B25" s="428" t="str">
        <f>'Nhân công'!B22</f>
        <v>Định vị khu vực dồn điền đổi thửa trên dữ liệu không gian đất đai nền trên cơ sở các hồ sơ, tài liệu hiện có</v>
      </c>
      <c r="C25" s="1524" t="str">
        <f>'Nhân công'!C22</f>
        <v>Thửa</v>
      </c>
      <c r="D25" s="1525">
        <f>'Nhân công'!G22</f>
        <v>5336.7788461538466</v>
      </c>
      <c r="E25" s="1525">
        <f>'Dụng cụ'!E32</f>
        <v>83.173290357230783</v>
      </c>
      <c r="F25" s="1525">
        <f>'Vật liệu'!E35</f>
        <v>91.992121199999985</v>
      </c>
      <c r="G25" s="1528">
        <f>'Thiết bị'!I80</f>
        <v>1698.1</v>
      </c>
      <c r="H25" s="1528">
        <f>'Thiết bị'!I86</f>
        <v>225.24959999999999</v>
      </c>
      <c r="I25" s="1528">
        <f>SUM(D25:H25)</f>
        <v>7435.2938577110772</v>
      </c>
      <c r="J25" s="1525">
        <f t="shared" ref="J25" si="11">I25*0.15</f>
        <v>1115.2940786566614</v>
      </c>
      <c r="K25" s="1528">
        <f t="shared" ref="K25" si="12">I25+J25</f>
        <v>8550.5879363677377</v>
      </c>
      <c r="L25" s="1543">
        <f t="shared" ref="L25" si="13">K25-G25</f>
        <v>6852.4879363677373</v>
      </c>
      <c r="M25" s="1544">
        <f t="shared" si="1"/>
        <v>164.75961538461539</v>
      </c>
      <c r="N25" s="1540">
        <f>L_CBan!$K$62*'Nhân công'!E22</f>
        <v>143.26923076923077</v>
      </c>
      <c r="O25" s="422">
        <f t="shared" si="2"/>
        <v>21.490384615384617</v>
      </c>
    </row>
    <row r="26" spans="1:16" ht="33.75" customHeight="1">
      <c r="A26" s="1526">
        <f>'Nhân công'!A23</f>
        <v>5</v>
      </c>
      <c r="B26" s="1527" t="str">
        <f>'Nhân công'!B23</f>
        <v>Xây dựng dữ liệu thuộc tính địa chính</v>
      </c>
      <c r="C26" s="1524"/>
      <c r="D26" s="1515"/>
      <c r="E26" s="1515"/>
      <c r="F26" s="1515"/>
      <c r="G26" s="1515"/>
      <c r="H26" s="1515"/>
      <c r="I26" s="1515"/>
      <c r="J26" s="1515"/>
      <c r="K26" s="1542"/>
      <c r="L26" s="1536"/>
      <c r="M26" s="1544"/>
      <c r="N26" s="1540"/>
    </row>
    <row r="27" spans="1:16" ht="54" customHeight="1">
      <c r="A27" s="429" t="str">
        <f>'Nhân công'!A24</f>
        <v>5.1</v>
      </c>
      <c r="B27" s="428" t="str">
        <f>'Nhân công'!B24</f>
        <v>Kiểm tra tính đầy đủ thông tin của thửa đất, lựa chọn tài liệu theo thứ tự ưu tiên</v>
      </c>
      <c r="C27" s="1524" t="str">
        <f>'Nhân công'!C24</f>
        <v>Thửa</v>
      </c>
      <c r="D27" s="1525">
        <f>'Nhân công'!G24</f>
        <v>2134.7115384615386</v>
      </c>
      <c r="E27" s="1525">
        <f>'Dụng cụ'!E34</f>
        <v>33.291734819538469</v>
      </c>
      <c r="F27" s="1525">
        <f>'Vật liệu'!E37</f>
        <v>36.821644199999994</v>
      </c>
      <c r="G27" s="1528">
        <f>'Thiết bị'!I88</f>
        <v>34.1</v>
      </c>
      <c r="H27" s="1528">
        <f>'Thiết bị'!I91</f>
        <v>63.393599999999999</v>
      </c>
      <c r="I27" s="1528">
        <f>SUM(D27:H27)</f>
        <v>2302.3185174810765</v>
      </c>
      <c r="J27" s="1525">
        <f t="shared" si="4"/>
        <v>345.34777762216146</v>
      </c>
      <c r="K27" s="1528">
        <f>I27+J27</f>
        <v>2647.6662951032381</v>
      </c>
      <c r="L27" s="1543">
        <f>K27-G27</f>
        <v>2613.5662951032382</v>
      </c>
      <c r="M27" s="1544">
        <f>+N27+O27</f>
        <v>65.903846153846146</v>
      </c>
      <c r="N27" s="1540">
        <f>L_CBan!$K$62*'Nhân công'!E24</f>
        <v>57.307692307692307</v>
      </c>
      <c r="O27" s="422">
        <f t="shared" si="2"/>
        <v>8.5961538461538449</v>
      </c>
      <c r="P27" s="422">
        <f>+K27*$Q$2</f>
        <v>338901285.77321446</v>
      </c>
    </row>
    <row r="28" spans="1:16" ht="63">
      <c r="A28" s="429" t="str">
        <f>'Nhân công'!A25</f>
        <v>5.2</v>
      </c>
      <c r="B28" s="428" t="str">
        <f>'Nhân công'!B25</f>
        <v>Lập bảng tham chiếu số thửa cũ và số thửa mới đối với các thửa đất đã được cấp Giấy chứng nhận theo bản đồ cũ nhưng chưa cấp đổi Giấy chứng nhận</v>
      </c>
      <c r="C28" s="1524" t="str">
        <f>'Nhân công'!C25</f>
        <v>Thửa</v>
      </c>
      <c r="D28" s="1525">
        <f>'Nhân công'!G25</f>
        <v>1067.3557692307693</v>
      </c>
      <c r="E28" s="1525">
        <f>'Dụng cụ'!E35</f>
        <v>16.477727334923078</v>
      </c>
      <c r="F28" s="1525">
        <f>'Vật liệu'!E38</f>
        <v>18.224854199999996</v>
      </c>
      <c r="G28" s="1528">
        <f>'Thiết bị'!I92</f>
        <v>16.899999999999999</v>
      </c>
      <c r="H28" s="1528">
        <f>'Thiết bị'!I95</f>
        <v>31.022400000000001</v>
      </c>
      <c r="I28" s="1528">
        <f>SUM(D28:H28)</f>
        <v>1149.9807507656924</v>
      </c>
      <c r="J28" s="1525">
        <f t="shared" ref="J28" si="14">I28*0.15</f>
        <v>172.49711261485385</v>
      </c>
      <c r="K28" s="1528">
        <f>I28+J28</f>
        <v>1322.4778633805463</v>
      </c>
      <c r="L28" s="1543">
        <f>K28-G28</f>
        <v>1305.5778633805462</v>
      </c>
      <c r="M28" s="1544">
        <f t="shared" si="1"/>
        <v>32.951923076923073</v>
      </c>
      <c r="N28" s="1540">
        <f>L_CBan!$K$62*'Nhân công'!E25</f>
        <v>28.653846153846153</v>
      </c>
      <c r="O28" s="422">
        <f t="shared" si="2"/>
        <v>4.2980769230769225</v>
      </c>
      <c r="P28" s="422">
        <f>+K28*$Q$2</f>
        <v>169277166.51270992</v>
      </c>
    </row>
    <row r="29" spans="1:16">
      <c r="A29" s="429" t="str">
        <f>'Nhân công'!A26</f>
        <v>5.3</v>
      </c>
      <c r="B29" s="428" t="str">
        <f>'Nhân công'!B26</f>
        <v>Nhập thông tin từ tài liệu đã lựa chọn</v>
      </c>
      <c r="C29" s="1524"/>
      <c r="D29" s="1525"/>
      <c r="E29" s="1525"/>
      <c r="F29" s="1525"/>
      <c r="G29" s="1528"/>
      <c r="H29" s="1528"/>
      <c r="I29" s="1528"/>
      <c r="J29" s="1525"/>
      <c r="K29" s="1528"/>
      <c r="L29" s="1543"/>
      <c r="M29" s="1544"/>
      <c r="N29" s="1540"/>
    </row>
    <row r="30" spans="1:16" s="1061" customFormat="1">
      <c r="A30" s="429" t="str">
        <f>'Nhân công'!A27</f>
        <v>5.3.1</v>
      </c>
      <c r="B30" s="428" t="str">
        <f>'Nhân công'!B27</f>
        <v>Thửa đất loại I (Thửa A)</v>
      </c>
      <c r="C30" s="1524" t="str">
        <f>'Nhân công'!C27</f>
        <v>Thửa</v>
      </c>
      <c r="D30" s="1525">
        <f>'Nhân công'!G27</f>
        <v>23375.091346153848</v>
      </c>
      <c r="E30" s="1525">
        <f>'Dụng cụ'!E37</f>
        <v>363.96721535030775</v>
      </c>
      <c r="F30" s="1525">
        <f>'Vật liệu'!E40</f>
        <v>402.55851419999993</v>
      </c>
      <c r="G30" s="1528">
        <f>'Thiết bị'!I97</f>
        <v>841.85877999999991</v>
      </c>
      <c r="H30" s="1528">
        <f>'Thiết bị'!I104</f>
        <v>1061.5056000000002</v>
      </c>
      <c r="I30" s="1528">
        <f>SUM(D30:H30)</f>
        <v>26044.981455704154</v>
      </c>
      <c r="J30" s="1525">
        <f t="shared" si="4"/>
        <v>3906.7472183556229</v>
      </c>
      <c r="K30" s="1528">
        <f>I30+J30</f>
        <v>29951.728674059777</v>
      </c>
      <c r="L30" s="1543">
        <f>K30-G30</f>
        <v>29109.869894059779</v>
      </c>
      <c r="M30" s="1544">
        <f t="shared" si="1"/>
        <v>721.64711538461529</v>
      </c>
      <c r="N30" s="1540">
        <f>L_CBan!$K$62*'Nhân công'!E27</f>
        <v>627.51923076923072</v>
      </c>
      <c r="O30" s="422">
        <f t="shared" si="2"/>
        <v>94.127884615384602</v>
      </c>
      <c r="P30" s="1061">
        <f>+K30*R2</f>
        <v>958455317.56991291</v>
      </c>
    </row>
    <row r="31" spans="1:16" s="1061" customFormat="1">
      <c r="A31" s="429" t="str">
        <f>'Nhân công'!A28</f>
        <v>5.3.2</v>
      </c>
      <c r="B31" s="428" t="str">
        <f>'Nhân công'!B28</f>
        <v>Thửa đất loại II (Thửa B và D)</v>
      </c>
      <c r="C31" s="1524" t="str">
        <f>'Nhân công'!C28</f>
        <v>Thửa</v>
      </c>
      <c r="D31" s="1525">
        <f>'Nhân công'!G28</f>
        <v>28050.109615384612</v>
      </c>
      <c r="E31" s="1525">
        <f>'Dụng cụ'!E38</f>
        <v>436.76065842036928</v>
      </c>
      <c r="F31" s="1525">
        <f>'Vật liệu'!E41</f>
        <v>483.07021703999993</v>
      </c>
      <c r="G31" s="1528">
        <f>'Thiết bị'!I105</f>
        <v>1010.2785359999998</v>
      </c>
      <c r="H31" s="1528">
        <f>'Thiết bị'!I112</f>
        <v>1273.7096064</v>
      </c>
      <c r="I31" s="1528">
        <f>SUM(D31:H31)</f>
        <v>31253.928633244977</v>
      </c>
      <c r="J31" s="1525">
        <f t="shared" ref="J31:J33" si="15">I31*0.15</f>
        <v>4688.0892949867466</v>
      </c>
      <c r="K31" s="1528">
        <f>I31+J31</f>
        <v>35942.017928231726</v>
      </c>
      <c r="L31" s="1543">
        <f>K31-G31</f>
        <v>34931.739392231728</v>
      </c>
      <c r="M31" s="1544">
        <f t="shared" si="1"/>
        <v>865.97653846153833</v>
      </c>
      <c r="N31" s="1540">
        <f>L_CBan!$K$62*'Nhân công'!E28</f>
        <v>753.02307692307681</v>
      </c>
      <c r="O31" s="422">
        <f t="shared" si="2"/>
        <v>112.95346153846153</v>
      </c>
    </row>
    <row r="32" spans="1:16" s="1061" customFormat="1">
      <c r="A32" s="429" t="str">
        <f>'Nhân công'!A29</f>
        <v>5.3.3</v>
      </c>
      <c r="B32" s="428" t="str">
        <f>'Nhân công'!B29</f>
        <v>Thửa đất loại III (Thửa C)</v>
      </c>
      <c r="C32" s="1524" t="str">
        <f>'Nhân công'!C29</f>
        <v>Thửa</v>
      </c>
      <c r="D32" s="1525">
        <f>'Nhân công'!G29</f>
        <v>11687.545673076924</v>
      </c>
      <c r="E32" s="1525">
        <f>'Dụng cụ'!E39</f>
        <v>181.98360767515388</v>
      </c>
      <c r="F32" s="1525">
        <f>'Vật liệu'!E42</f>
        <v>201.27925709999997</v>
      </c>
      <c r="G32" s="1528">
        <f>'Thiết bị'!I113</f>
        <v>420.94938999999999</v>
      </c>
      <c r="H32" s="1528">
        <f>'Thiết bị'!I120</f>
        <v>530.71233600000005</v>
      </c>
      <c r="I32" s="1528">
        <f>SUM(D32:H32)</f>
        <v>13022.470263852078</v>
      </c>
      <c r="J32" s="1525">
        <f t="shared" si="15"/>
        <v>1953.3705395778115</v>
      </c>
      <c r="K32" s="1528">
        <f>I32+J32</f>
        <v>14975.840803429888</v>
      </c>
      <c r="L32" s="1543">
        <f>K32-G32</f>
        <v>14554.891413429888</v>
      </c>
      <c r="M32" s="1544">
        <f t="shared" si="1"/>
        <v>360.82355769230765</v>
      </c>
      <c r="N32" s="1540">
        <f>L_CBan!$K$62*'Nhân công'!E29</f>
        <v>313.75961538461536</v>
      </c>
      <c r="O32" s="422">
        <f t="shared" si="2"/>
        <v>47.063942307692301</v>
      </c>
      <c r="P32" s="1061">
        <f>+K32*S2</f>
        <v>1437680717.1292694</v>
      </c>
    </row>
    <row r="33" spans="1:16" s="1061" customFormat="1">
      <c r="A33" s="429" t="str">
        <f>'Nhân công'!A30</f>
        <v>5.3.4</v>
      </c>
      <c r="B33" s="428" t="str">
        <f>'Nhân công'!B30</f>
        <v>Thửa đất loại IV (Thửa E)</v>
      </c>
      <c r="C33" s="1524" t="str">
        <f>'Nhân công'!C30</f>
        <v>Thửa</v>
      </c>
      <c r="D33" s="1525">
        <f>'Nhân công'!G30</f>
        <v>11687.545673076924</v>
      </c>
      <c r="E33" s="1525">
        <f>'Dụng cụ'!E40</f>
        <v>181.98360767515388</v>
      </c>
      <c r="F33" s="1525">
        <f>'Vật liệu'!E43</f>
        <v>201.27925709999997</v>
      </c>
      <c r="G33" s="1528">
        <f>'Thiết bị'!I121</f>
        <v>420.94938999999999</v>
      </c>
      <c r="H33" s="1528">
        <f>'Thiết bị'!I128</f>
        <v>530.71233600000005</v>
      </c>
      <c r="I33" s="1528">
        <f>SUM(D33:H33)</f>
        <v>13022.470263852078</v>
      </c>
      <c r="J33" s="1525">
        <f t="shared" si="15"/>
        <v>1953.3705395778115</v>
      </c>
      <c r="K33" s="1528">
        <f>I33+J33</f>
        <v>14975.840803429888</v>
      </c>
      <c r="L33" s="1543">
        <f>K33-G33</f>
        <v>14554.891413429888</v>
      </c>
      <c r="M33" s="1544">
        <f t="shared" si="1"/>
        <v>360.82355769230765</v>
      </c>
      <c r="N33" s="1540">
        <f>L_CBan!$K$62*'Nhân công'!E30</f>
        <v>313.75961538461536</v>
      </c>
      <c r="O33" s="422">
        <f t="shared" si="2"/>
        <v>47.063942307692301</v>
      </c>
      <c r="P33" s="1061">
        <f>+T2*K33</f>
        <v>479226905.70975643</v>
      </c>
    </row>
    <row r="34" spans="1:16">
      <c r="A34" s="1526">
        <f>'Nhân công'!A31</f>
        <v>6</v>
      </c>
      <c r="B34" s="1527" t="str">
        <f>'Nhân công'!B31</f>
        <v>Hoàn thiện dữ liệu địa chính</v>
      </c>
      <c r="C34" s="1524"/>
      <c r="D34" s="1515"/>
      <c r="E34" s="1515"/>
      <c r="F34" s="1525"/>
      <c r="G34" s="1515"/>
      <c r="H34" s="1515"/>
      <c r="I34" s="1515"/>
      <c r="J34" s="1515"/>
      <c r="K34" s="1542"/>
      <c r="L34" s="1536"/>
      <c r="M34" s="1544"/>
      <c r="N34" s="1540"/>
    </row>
    <row r="35" spans="1:16">
      <c r="A35" s="429" t="str">
        <f>'Nhân công'!A32</f>
        <v>6.1</v>
      </c>
      <c r="B35" s="428" t="str">
        <f>'Nhân công'!B32</f>
        <v>Hoàn thiện 100% thông tin trong CSDL</v>
      </c>
      <c r="C35" s="1524" t="str">
        <f>'Nhân công'!C32</f>
        <v>Thửa</v>
      </c>
      <c r="D35" s="1525">
        <f>'Nhân công'!G32</f>
        <v>2134.7115384615386</v>
      </c>
      <c r="E35" s="1525">
        <f>'Dụng cụ'!E42</f>
        <v>33.291734819538469</v>
      </c>
      <c r="F35" s="1525">
        <f>'Vật liệu'!E45</f>
        <v>36.821644199999994</v>
      </c>
      <c r="G35" s="1528">
        <f>'Thiết bị'!I130</f>
        <v>141.67619999999999</v>
      </c>
      <c r="H35" s="1528">
        <f>'Thiết bị'!I136</f>
        <v>90.369600000000005</v>
      </c>
      <c r="I35" s="1528">
        <f>SUM(D35:H35)</f>
        <v>2436.8707174810766</v>
      </c>
      <c r="J35" s="1525">
        <f t="shared" si="4"/>
        <v>365.53060762216148</v>
      </c>
      <c r="K35" s="1528">
        <f>I35+J35</f>
        <v>2802.4013251032379</v>
      </c>
      <c r="L35" s="1543">
        <f t="shared" ref="L35" si="16">K35-G35</f>
        <v>2660.725125103238</v>
      </c>
      <c r="M35" s="1544">
        <f t="shared" si="1"/>
        <v>65.903846153846146</v>
      </c>
      <c r="N35" s="1540">
        <f>L_CBan!$K$62*'Nhân công'!E32</f>
        <v>57.307692307692307</v>
      </c>
      <c r="O35" s="422">
        <f t="shared" si="2"/>
        <v>8.5961538461538449</v>
      </c>
      <c r="P35" s="422">
        <f>+K35*$Q$1</f>
        <v>448384212.01651806</v>
      </c>
    </row>
    <row r="36" spans="1:16" ht="31.5">
      <c r="A36" s="429" t="str">
        <f>'Nhân công'!A33</f>
        <v>6.2</v>
      </c>
      <c r="B36" s="428" t="str">
        <f>'Nhân công'!B33</f>
        <v>Xuất sổ địa chính (điện tử) theo khuôn dạng tệp tin PDF</v>
      </c>
      <c r="C36" s="1524" t="str">
        <f>'Nhân công'!C33</f>
        <v>Thửa</v>
      </c>
      <c r="D36" s="1525">
        <f>'Nhân công'!G33</f>
        <v>533.67788461538464</v>
      </c>
      <c r="E36" s="1525">
        <f>'Dụng cụ'!E43</f>
        <v>8.2949103590769244</v>
      </c>
      <c r="F36" s="1525">
        <f>'Vật liệu'!E46</f>
        <v>9.1744163999999984</v>
      </c>
      <c r="G36" s="1528">
        <f>'Thiết bị'!I137</f>
        <v>18.688100000000002</v>
      </c>
      <c r="H36" s="1528">
        <f>'Thiết bị'!I142</f>
        <v>22.929599999999997</v>
      </c>
      <c r="I36" s="1528">
        <f>SUM(D36:H36)</f>
        <v>592.76491137446158</v>
      </c>
      <c r="J36" s="1525">
        <f t="shared" si="4"/>
        <v>88.914736706169236</v>
      </c>
      <c r="K36" s="1528">
        <f>I36+J36</f>
        <v>681.67964808063084</v>
      </c>
      <c r="L36" s="1543">
        <f>K36-G36</f>
        <v>662.99154808063088</v>
      </c>
      <c r="M36" s="1544">
        <f t="shared" si="1"/>
        <v>16.475961538461537</v>
      </c>
      <c r="N36" s="1540">
        <f>L_CBan!$K$62*'Nhân công'!E33</f>
        <v>14.326923076923077</v>
      </c>
      <c r="O36" s="422">
        <f t="shared" si="2"/>
        <v>2.1490384615384612</v>
      </c>
      <c r="P36" s="422">
        <f t="shared" ref="P36:P44" si="17">+K36*$Q$1</f>
        <v>109068743.69290094</v>
      </c>
    </row>
    <row r="37" spans="1:16">
      <c r="A37" s="1526">
        <f>'Nhân công'!A34</f>
        <v>7</v>
      </c>
      <c r="B37" s="1527" t="str">
        <f>'Nhân công'!B34</f>
        <v>Xây dựng siêu dữ liệu địa chính</v>
      </c>
      <c r="C37" s="1524"/>
      <c r="D37" s="1515"/>
      <c r="E37" s="1515"/>
      <c r="F37" s="1515"/>
      <c r="G37" s="1515"/>
      <c r="H37" s="1515"/>
      <c r="I37" s="1515"/>
      <c r="J37" s="1515"/>
      <c r="K37" s="1542"/>
      <c r="L37" s="1536"/>
      <c r="M37" s="1544"/>
      <c r="N37" s="1540"/>
      <c r="P37" s="422">
        <f t="shared" si="17"/>
        <v>0</v>
      </c>
    </row>
    <row r="38" spans="1:16" ht="47.25">
      <c r="A38" s="429" t="str">
        <f>'Nhân công'!A35</f>
        <v>7.1</v>
      </c>
      <c r="B38" s="428" t="str">
        <f>'Nhân công'!B35</f>
        <v>Thu nhận các thông tin cần thiết để xây dựng siêu dữ liệu (thông tin mô tả dữ liệu) địa chính</v>
      </c>
      <c r="C38" s="1524" t="str">
        <f>'Nhân công'!C35</f>
        <v>Thửa</v>
      </c>
      <c r="D38" s="1525">
        <f>'Nhân công'!G35</f>
        <v>722.43853461538458</v>
      </c>
      <c r="E38" s="1525">
        <f>'Dụng cụ'!E45</f>
        <v>12.666552305076923</v>
      </c>
      <c r="F38" s="1525">
        <f>'Vật liệu'!E48</f>
        <v>14.009581799999998</v>
      </c>
      <c r="G38" s="1528">
        <f>'Thiết bị'!I144</f>
        <v>12.9</v>
      </c>
      <c r="H38" s="1528">
        <f>'Thiết bị'!I147</f>
        <v>24.278399999999998</v>
      </c>
      <c r="I38" s="1528">
        <f>SUM(D38:H38)</f>
        <v>786.29306872046152</v>
      </c>
      <c r="J38" s="1525">
        <f t="shared" si="4"/>
        <v>117.94396030806922</v>
      </c>
      <c r="K38" s="1528">
        <f>I38+J38</f>
        <v>904.23702902853074</v>
      </c>
      <c r="L38" s="1543">
        <f>K38-G38</f>
        <v>891.33702902853076</v>
      </c>
      <c r="M38" s="1544">
        <f t="shared" si="1"/>
        <v>25.043461538461536</v>
      </c>
      <c r="N38" s="1540">
        <f>L_CBan!$K$62*'Nhân công'!E35</f>
        <v>21.776923076923076</v>
      </c>
      <c r="O38" s="422">
        <f t="shared" si="2"/>
        <v>3.2665384615384614</v>
      </c>
      <c r="P38" s="422">
        <f t="shared" si="17"/>
        <v>144677924.64456493</v>
      </c>
    </row>
    <row r="39" spans="1:16" ht="31.5">
      <c r="A39" s="429" t="str">
        <f>'Nhân công'!A36</f>
        <v>7.2</v>
      </c>
      <c r="B39" s="428" t="str">
        <f>'Nhân công'!B36</f>
        <v>Nhập thông tin siêu dữ liệu địa chính cho từng đơn vị hành chính cấp xã</v>
      </c>
      <c r="C39" s="1524" t="str">
        <f>'Nhân công'!C36</f>
        <v>Thửa</v>
      </c>
      <c r="D39" s="1525">
        <f>'Nhân công'!G36</f>
        <v>16.675965384615385</v>
      </c>
      <c r="E39" s="1525">
        <f>'Dụng cụ'!E46</f>
        <v>0.33628014969230768</v>
      </c>
      <c r="F39" s="1525">
        <f>'Vật liệu'!E49</f>
        <v>0.37193579999999993</v>
      </c>
      <c r="G39" s="1528">
        <f>'Thiết bị'!I148</f>
        <v>0.75352400000000008</v>
      </c>
      <c r="H39" s="1528">
        <f>'Thiết bị'!I153</f>
        <v>0.6744</v>
      </c>
      <c r="I39" s="1528">
        <f>SUM(D39:H39)</f>
        <v>18.812105334307688</v>
      </c>
      <c r="J39" s="1525">
        <f t="shared" ref="J39:J43" si="18">I39*0.15</f>
        <v>2.8218158001461533</v>
      </c>
      <c r="K39" s="1528">
        <f>I39+J39</f>
        <v>21.633921134453843</v>
      </c>
      <c r="L39" s="1543">
        <f t="shared" ref="L39:L43" si="19">K39-G39</f>
        <v>20.880397134453844</v>
      </c>
      <c r="M39" s="1544">
        <f t="shared" si="1"/>
        <v>0.65903846153846146</v>
      </c>
      <c r="N39" s="1540">
        <f>L_CBan!$K$62*'Nhân công'!E36</f>
        <v>0.57307692307692304</v>
      </c>
      <c r="O39" s="422">
        <f t="shared" si="2"/>
        <v>8.596153846153845E-2</v>
      </c>
      <c r="P39" s="422">
        <f t="shared" si="17"/>
        <v>3461427.3815126149</v>
      </c>
    </row>
    <row r="40" spans="1:16" ht="47.25">
      <c r="A40" s="1526">
        <f>'Nhân công'!A37</f>
        <v>8</v>
      </c>
      <c r="B40" s="1527" t="str">
        <f>'Nhân công'!B37</f>
        <v>Đối soát, tích hợp dữ liệu vào hệ thống (do Văn phòng Đăng ký đất đai thực hiện)</v>
      </c>
      <c r="C40" s="1524"/>
      <c r="D40" s="1515"/>
      <c r="E40" s="1515"/>
      <c r="F40" s="1515"/>
      <c r="G40" s="1515"/>
      <c r="H40" s="1515"/>
      <c r="I40" s="1515"/>
      <c r="J40" s="1515"/>
      <c r="K40" s="1542"/>
      <c r="L40" s="1536"/>
      <c r="M40" s="1544"/>
      <c r="N40" s="1540"/>
      <c r="P40" s="422">
        <f t="shared" si="17"/>
        <v>0</v>
      </c>
    </row>
    <row r="41" spans="1:16" ht="47.25">
      <c r="A41" s="429" t="str">
        <f>'Nhân công'!A38</f>
        <v>8.1</v>
      </c>
      <c r="B41" s="428" t="str">
        <f>'Nhân công'!B38</f>
        <v>Đối soát thông tin của thửa đất trong CSDL với nguồn tài liệu, dữ liệu đã sử dụng để xây dựng CSDL</v>
      </c>
      <c r="C41" s="1524" t="str">
        <f>'Nhân công'!C38</f>
        <v>Thửa</v>
      </c>
      <c r="D41" s="1525">
        <f>'Nhân công'!G38</f>
        <v>1250.6974038461537</v>
      </c>
      <c r="E41" s="1525">
        <f>'Dụng cụ'!E48</f>
        <v>24.884731077230775</v>
      </c>
      <c r="F41" s="1525">
        <f>'Vật liệu'!E51</f>
        <v>27.523249199999999</v>
      </c>
      <c r="G41" s="1528">
        <f>'Thiết bị'!I155</f>
        <v>52.840960000000003</v>
      </c>
      <c r="H41" s="1528">
        <f>'Thiết bị'!I160</f>
        <v>67.44</v>
      </c>
      <c r="I41" s="1528">
        <f>SUM(D41:H41)</f>
        <v>1423.3863441233846</v>
      </c>
      <c r="J41" s="1525">
        <f t="shared" si="18"/>
        <v>213.50795161850769</v>
      </c>
      <c r="K41" s="1528">
        <f t="shared" ref="K41:K43" si="20">I41+J41</f>
        <v>1636.8942957418922</v>
      </c>
      <c r="L41" s="1543">
        <f t="shared" si="19"/>
        <v>1584.0533357418922</v>
      </c>
      <c r="M41" s="1544">
        <f t="shared" si="1"/>
        <v>49.427884615384613</v>
      </c>
      <c r="N41" s="1540">
        <f>L_CBan!$K$62*'Nhân công'!E38</f>
        <v>42.980769230769226</v>
      </c>
      <c r="O41" s="422">
        <f t="shared" si="2"/>
        <v>6.4471153846153841</v>
      </c>
      <c r="P41" s="422">
        <f t="shared" si="17"/>
        <v>261903087.31870276</v>
      </c>
    </row>
    <row r="42" spans="1:16">
      <c r="A42" s="429" t="str">
        <f>'Nhân công'!A39</f>
        <v>8.2</v>
      </c>
      <c r="B42" s="428" t="str">
        <f>'Nhân công'!B39</f>
        <v>Ký số vào sổ địa chính (điện tử)</v>
      </c>
      <c r="C42" s="1524" t="str">
        <f>'Nhân công'!C39</f>
        <v>Thửa</v>
      </c>
      <c r="D42" s="1525">
        <f>'Nhân công'!G39</f>
        <v>1184.1345192307692</v>
      </c>
      <c r="E42" s="1525">
        <f>'Dụng cụ'!E49</f>
        <v>16.589820718153849</v>
      </c>
      <c r="F42" s="1525">
        <f>'Vật liệu'!E52</f>
        <v>18.348832799999997</v>
      </c>
      <c r="G42" s="1528">
        <f>'Thiết bị'!I161</f>
        <v>52.604799999999997</v>
      </c>
      <c r="H42" s="1528">
        <f>'Thiết bị'!I166</f>
        <v>74.183999999999997</v>
      </c>
      <c r="I42" s="1528">
        <f>SUM(D42:H42)</f>
        <v>1345.8619727489231</v>
      </c>
      <c r="J42" s="1525">
        <f t="shared" si="18"/>
        <v>201.87929591233845</v>
      </c>
      <c r="K42" s="1528">
        <f t="shared" si="20"/>
        <v>1547.7412686612615</v>
      </c>
      <c r="L42" s="1543">
        <f t="shared" si="19"/>
        <v>1495.1364686612615</v>
      </c>
      <c r="M42" s="1544">
        <f t="shared" si="1"/>
        <v>32.951923076923073</v>
      </c>
      <c r="N42" s="1540">
        <f>L_CBan!$K$62*'Nhân công'!E39</f>
        <v>28.653846153846153</v>
      </c>
      <c r="O42" s="422">
        <f t="shared" si="2"/>
        <v>4.2980769230769225</v>
      </c>
      <c r="P42" s="422">
        <f t="shared" si="17"/>
        <v>247638602.98580185</v>
      </c>
    </row>
    <row r="43" spans="1:16" ht="47.25">
      <c r="A43" s="429" t="str">
        <f>'Nhân công'!A40</f>
        <v>8.3</v>
      </c>
      <c r="B43" s="428" t="str">
        <f>'Nhân công'!B40</f>
        <v>Tích hợp dữ liệu vào hệ thống theo định kỳ hàng tháng phục vụ quản lý, vận hành, khai thác sử dụng</v>
      </c>
      <c r="C43" s="1524" t="str">
        <f>'Nhân công'!C40</f>
        <v>Thửa</v>
      </c>
      <c r="D43" s="1525">
        <f>'Nhân công'!G40</f>
        <v>2134.7115384615386</v>
      </c>
      <c r="E43" s="1525">
        <f>'Dụng cụ'!E50</f>
        <v>33.291734819538469</v>
      </c>
      <c r="F43" s="1525">
        <f>'Vật liệu'!E53</f>
        <v>36.821644199999994</v>
      </c>
      <c r="G43" s="1528">
        <f>'Thiết bị'!I167</f>
        <v>147.67619999999999</v>
      </c>
      <c r="H43" s="1528">
        <f>'Thiết bị'!I173</f>
        <v>149.71680000000001</v>
      </c>
      <c r="I43" s="1528">
        <f>SUM(D43:H43)</f>
        <v>2502.2179174810767</v>
      </c>
      <c r="J43" s="1525">
        <f t="shared" si="18"/>
        <v>375.33268762216147</v>
      </c>
      <c r="K43" s="1528">
        <f t="shared" si="20"/>
        <v>2877.550605103238</v>
      </c>
      <c r="L43" s="1543">
        <f t="shared" si="19"/>
        <v>2729.8744051032381</v>
      </c>
      <c r="M43" s="1544">
        <f t="shared" si="1"/>
        <v>65.903846153846146</v>
      </c>
      <c r="N43" s="1540">
        <f>L_CBan!$K$62*'Nhân công'!E40</f>
        <v>57.307692307692307</v>
      </c>
      <c r="O43" s="422">
        <f t="shared" si="2"/>
        <v>8.5961538461538449</v>
      </c>
      <c r="P43" s="422">
        <f t="shared" si="17"/>
        <v>460408096.81651807</v>
      </c>
    </row>
    <row r="44" spans="1:16" ht="31.5">
      <c r="A44" s="1526">
        <f>'Nhân công'!A41</f>
        <v>9</v>
      </c>
      <c r="B44" s="1527" t="str">
        <f>'Nhân công'!B41</f>
        <v>Phục vụ kiểm tra, nghiệm thu CSDL địa chính</v>
      </c>
      <c r="C44" s="1524"/>
      <c r="D44" s="1515"/>
      <c r="E44" s="1515"/>
      <c r="F44" s="1515"/>
      <c r="G44" s="1515"/>
      <c r="H44" s="1515"/>
      <c r="I44" s="1515"/>
      <c r="J44" s="1515"/>
      <c r="K44" s="1542"/>
      <c r="L44" s="1536"/>
      <c r="M44" s="1544"/>
      <c r="N44" s="1540"/>
      <c r="P44" s="422">
        <f t="shared" si="17"/>
        <v>0</v>
      </c>
    </row>
    <row r="45" spans="1:16" ht="102.75" customHeight="1">
      <c r="A45" s="1530"/>
      <c r="B45" s="1534" t="str">
        <f>'Nhân công'!B42</f>
        <v>Chuẩn bị tư liệu, tài liệu và phục vụ giám sát, kiểm tra, nghiệm thu; tổng hợp, xác định khối lượng sản phẩm đã thực hiện theo định kỳ hàng tháng, theo công đoạn công trình và khi kết thúc công trình. Lập biên bản bàn giao dữ liệu địa chính</v>
      </c>
      <c r="C45" s="1531" t="str">
        <f>'Nhân công'!C42</f>
        <v>Thửa</v>
      </c>
      <c r="D45" s="1533">
        <f>'Nhân công'!G42</f>
        <v>403.08110384615389</v>
      </c>
      <c r="E45" s="1533">
        <f>'Dụng cụ'!E52</f>
        <v>7.6223500596923079</v>
      </c>
      <c r="F45" s="1525">
        <f>'Vật liệu'!E55</f>
        <v>8.4305447999999981</v>
      </c>
      <c r="G45" s="1532">
        <f>'Thiết bị'!I175</f>
        <v>7.8</v>
      </c>
      <c r="H45" s="1532">
        <f>'Thiết bị'!I178</f>
        <v>14.8368</v>
      </c>
      <c r="I45" s="1532">
        <f>SUM(D45:H45)</f>
        <v>441.77079870584618</v>
      </c>
      <c r="J45" s="1533">
        <f t="shared" ref="J45" si="21">I45*0.15</f>
        <v>66.265619805876923</v>
      </c>
      <c r="K45" s="1545">
        <f t="shared" ref="K45" si="22">I45+J45</f>
        <v>508.03641851172313</v>
      </c>
      <c r="L45" s="1546">
        <f t="shared" ref="L45" si="23">K45-G45</f>
        <v>500.23641851172312</v>
      </c>
      <c r="M45" s="1547">
        <f t="shared" si="1"/>
        <v>15.157884615384614</v>
      </c>
      <c r="N45" s="1540">
        <f>L_CBan!$K$62*'Nhân công'!E42</f>
        <v>13.180769230769229</v>
      </c>
      <c r="O45" s="422">
        <f t="shared" si="2"/>
        <v>1.9771153846153844</v>
      </c>
      <c r="P45" s="422">
        <f>+K45*$Q$1</f>
        <v>81285826.961875707</v>
      </c>
    </row>
    <row r="46" spans="1:16" ht="31.5">
      <c r="A46" s="1548" t="s">
        <v>1046</v>
      </c>
      <c r="B46" s="1549" t="str">
        <f>'Nhân công Nen'!B3</f>
        <v xml:space="preserve"> Xây dựng dữ liệu không gian đất đai nền</v>
      </c>
      <c r="C46" s="1550"/>
      <c r="D46" s="1551"/>
      <c r="E46" s="1551"/>
      <c r="F46" s="1551"/>
      <c r="G46" s="1551"/>
      <c r="H46" s="1551"/>
      <c r="I46" s="1551"/>
      <c r="J46" s="1551"/>
      <c r="K46" s="1551"/>
      <c r="L46" s="1552"/>
      <c r="M46" s="1553"/>
    </row>
    <row r="47" spans="1:16" s="1535" customFormat="1" ht="31.5">
      <c r="A47" s="1554">
        <f>'Nhân công Nen'!A4</f>
        <v>1</v>
      </c>
      <c r="B47" s="1555" t="str">
        <f>'Nhân công Nen'!B4</f>
        <v xml:space="preserve"> Xây dựng dữ liệu không gian đất đai nền</v>
      </c>
      <c r="C47" s="1554"/>
      <c r="D47" s="1536"/>
      <c r="E47" s="1536"/>
      <c r="F47" s="1536"/>
      <c r="G47" s="1536"/>
      <c r="H47" s="1536"/>
      <c r="I47" s="1536"/>
      <c r="J47" s="1536"/>
      <c r="K47" s="1536"/>
      <c r="L47" s="1536"/>
      <c r="M47" s="1544"/>
    </row>
    <row r="48" spans="1:16" ht="31.5">
      <c r="A48" s="1556" t="str">
        <f>'Nhân công Nen'!A5</f>
        <v>1.1</v>
      </c>
      <c r="B48" s="1557" t="str">
        <f>'Nhân công Nen'!B5</f>
        <v>Xử lý biên theo quy định về bản đồ đối với các tài liệu bản đồ tiếp giáp nhau</v>
      </c>
      <c r="C48" s="1556" t="str">
        <f>'Nhân công Nen'!C5</f>
        <v>Xã</v>
      </c>
      <c r="D48" s="1558">
        <f>'Nhân công Nen'!G5</f>
        <v>1067355.7692307692</v>
      </c>
      <c r="E48" s="1559">
        <f>'Dụng cụ Nen'!E16</f>
        <v>14253.455680380001</v>
      </c>
      <c r="F48" s="1559">
        <f>'Vật liệu Nen'!E18</f>
        <v>191125.00800000003</v>
      </c>
      <c r="G48" s="1528">
        <f>'Thiết bị Nen'!I6</f>
        <v>252190</v>
      </c>
      <c r="H48" s="1528">
        <f>'Thiết bị Nen'!I10</f>
        <v>31427.040000000001</v>
      </c>
      <c r="I48" s="1528">
        <f t="shared" ref="I48:I54" si="24">SUM(D48:H48)</f>
        <v>1556351.2729111495</v>
      </c>
      <c r="J48" s="1528">
        <f t="shared" ref="J48" si="25">I48*0.15</f>
        <v>233452.69093667241</v>
      </c>
      <c r="K48" s="1528">
        <f t="shared" ref="K48" si="26">I48+J48</f>
        <v>1789803.963847822</v>
      </c>
      <c r="L48" s="1543">
        <f t="shared" ref="L48" si="27">K48-G48</f>
        <v>1537613.963847822</v>
      </c>
      <c r="M48" s="1543">
        <f t="shared" si="1"/>
        <v>32951.923076923078</v>
      </c>
      <c r="N48" s="1540">
        <f>L_CBan!$K$62*'Nhân công Nen'!E5</f>
        <v>28653.846153846152</v>
      </c>
      <c r="O48" s="422">
        <f t="shared" ref="O48:O54" si="28">+N48*0.15</f>
        <v>4298.0769230769229</v>
      </c>
      <c r="P48" s="422">
        <f>+K48*20</f>
        <v>35796079.276956439</v>
      </c>
    </row>
    <row r="49" spans="1:19" ht="31.5">
      <c r="A49" s="1556" t="str">
        <f>'Nhân công Nen'!A6</f>
        <v>1.2</v>
      </c>
      <c r="B49" s="1557" t="str">
        <f>'Nhân công Nen'!B6</f>
        <v>Tách, lọc và chuẩn hóa các lớp đối tượng không gian đất đai nền</v>
      </c>
      <c r="C49" s="1556" t="str">
        <f>'Nhân công Nen'!C6</f>
        <v>Xã</v>
      </c>
      <c r="D49" s="1558">
        <f>'Nhân công Nen'!G6</f>
        <v>2561653.846153846</v>
      </c>
      <c r="E49" s="1559">
        <f>'Dụng cụ Nen'!E17</f>
        <v>34218.970378739999</v>
      </c>
      <c r="F49" s="1559">
        <f>'Vật liệu Nen'!E19</f>
        <v>458843.18400000007</v>
      </c>
      <c r="G49" s="1528">
        <f>'Thiết bị Nen'!I11</f>
        <v>605280</v>
      </c>
      <c r="H49" s="1528">
        <f>'Thiết bị Nen'!I15</f>
        <v>75532.799999999988</v>
      </c>
      <c r="I49" s="1528">
        <f t="shared" si="24"/>
        <v>3735528.8005325859</v>
      </c>
      <c r="J49" s="1528">
        <f t="shared" ref="J49:J54" si="29">I49*0.15</f>
        <v>560329.32007988787</v>
      </c>
      <c r="K49" s="1528">
        <f t="shared" ref="K49:K54" si="30">I49+J49</f>
        <v>4295858.1206124742</v>
      </c>
      <c r="L49" s="1543">
        <f t="shared" ref="L49:L54" si="31">K49-G49</f>
        <v>3690578.1206124742</v>
      </c>
      <c r="M49" s="1543">
        <f t="shared" si="1"/>
        <v>79084.615384615376</v>
      </c>
      <c r="N49" s="1540">
        <f>L_CBan!$K$62*'Nhân công Nen'!E6</f>
        <v>68769.230769230766</v>
      </c>
      <c r="O49" s="422">
        <f t="shared" si="28"/>
        <v>10315.384615384615</v>
      </c>
      <c r="P49" s="422">
        <f>+K49*20</f>
        <v>85917162.412249476</v>
      </c>
    </row>
    <row r="50" spans="1:19" ht="47.25">
      <c r="A50" s="1556" t="str">
        <f>'Nhân công Nen'!A7</f>
        <v>1.3</v>
      </c>
      <c r="B50" s="1557" t="str">
        <f>'Nhân công Nen'!B7</f>
        <v>Chuyển đổi các lớp đối tượng không gian đất đai nền từ tệp (File) bản đồ số vào CSDL</v>
      </c>
      <c r="C50" s="1560" t="str">
        <f>'Nhân công Nen'!C7</f>
        <v>Xã</v>
      </c>
      <c r="D50" s="1558">
        <f>'Nhân công Nen'!G7</f>
        <v>640413.4615384615</v>
      </c>
      <c r="E50" s="1559">
        <f>'Dụng cụ Nen'!E18</f>
        <v>9128.6176829399992</v>
      </c>
      <c r="F50" s="1559">
        <f>'Vật liệu Nen'!E20</f>
        <v>122405.90400000002</v>
      </c>
      <c r="G50" s="1528">
        <f>'Thiết bị Nen'!I16</f>
        <v>161398</v>
      </c>
      <c r="H50" s="1528">
        <f>'Thiết bị Nen'!I20</f>
        <v>20097.12</v>
      </c>
      <c r="I50" s="1528">
        <f t="shared" si="24"/>
        <v>953443.10322140146</v>
      </c>
      <c r="J50" s="1528">
        <f t="shared" si="29"/>
        <v>143016.46548321022</v>
      </c>
      <c r="K50" s="1528">
        <f t="shared" si="30"/>
        <v>1096459.5687046116</v>
      </c>
      <c r="L50" s="1543">
        <f t="shared" si="31"/>
        <v>935061.56870461162</v>
      </c>
      <c r="M50" s="1543">
        <f t="shared" si="1"/>
        <v>19771.153846153844</v>
      </c>
      <c r="N50" s="1540">
        <f>L_CBan!$K$62*'Nhân công Nen'!E7</f>
        <v>17192.307692307691</v>
      </c>
      <c r="O50" s="422">
        <f t="shared" si="28"/>
        <v>2578.8461538461538</v>
      </c>
      <c r="P50" s="422">
        <f>+K50*20</f>
        <v>21929191.374092232</v>
      </c>
    </row>
    <row r="51" spans="1:19" ht="78.75">
      <c r="A51" s="1556" t="str">
        <f>'Nhân công Nen'!A8</f>
        <v>1.4</v>
      </c>
      <c r="B51" s="1557" t="str">
        <f>'Nhân công Nen'!B8</f>
        <v>Gộp các thành phần tiếp giáp nhau của cùng một đối tượng không gian đất đai nền thành một đối tượng duy nhất phù hợp với thông tin thuộc tính của đối tượng theo phạm vi đơn vị hành chính cấp xã</v>
      </c>
      <c r="C51" s="1556" t="str">
        <f>'Nhân công Nen'!C8</f>
        <v>Xã</v>
      </c>
      <c r="D51" s="1558">
        <f>'Nhân công Nen'!G8</f>
        <v>2134711.5384615385</v>
      </c>
      <c r="E51" s="1559">
        <f>'Dụng cụ Nen'!E19</f>
        <v>27385.853048819998</v>
      </c>
      <c r="F51" s="1559">
        <f>'Vật liệu Nen'!E21</f>
        <v>367217.71200000006</v>
      </c>
      <c r="G51" s="1528">
        <f>'Thiết bị Nen'!I21</f>
        <v>484224</v>
      </c>
      <c r="H51" s="1528">
        <f>'Thiết bị Nen'!I25</f>
        <v>60426.240000000005</v>
      </c>
      <c r="I51" s="1528">
        <f t="shared" si="24"/>
        <v>3073965.3435103586</v>
      </c>
      <c r="J51" s="1528">
        <f t="shared" si="29"/>
        <v>461094.80152655375</v>
      </c>
      <c r="K51" s="1528">
        <f t="shared" si="30"/>
        <v>3535060.1450369125</v>
      </c>
      <c r="L51" s="1543">
        <f t="shared" si="31"/>
        <v>3050836.1450369125</v>
      </c>
      <c r="M51" s="1543">
        <f t="shared" si="1"/>
        <v>65903.846153846156</v>
      </c>
      <c r="N51" s="1540">
        <f>L_CBan!$K$62*'Nhân công Nen'!E8</f>
        <v>57307.692307692305</v>
      </c>
      <c r="O51" s="422">
        <f t="shared" si="28"/>
        <v>8596.1538461538457</v>
      </c>
      <c r="P51" s="422">
        <f t="shared" ref="P51:P54" si="32">+K51*20</f>
        <v>70701202.900738254</v>
      </c>
      <c r="R51" s="1788">
        <f>SUM(D48:D54)</f>
        <v>10033144.23076923</v>
      </c>
    </row>
    <row r="52" spans="1:19" s="1535" customFormat="1">
      <c r="A52" s="1554">
        <f>'Nhân công Nen'!A9</f>
        <v>2</v>
      </c>
      <c r="B52" s="1555" t="str">
        <f>'Nhân công Nen'!B9</f>
        <v xml:space="preserve">Tích hợp dữ liệu không gian đất đai nền </v>
      </c>
      <c r="C52" s="1554"/>
      <c r="D52" s="1536"/>
      <c r="E52" s="1536"/>
      <c r="F52" s="1536"/>
      <c r="G52" s="1536"/>
      <c r="H52" s="1536"/>
      <c r="I52" s="1536"/>
      <c r="J52" s="1536"/>
      <c r="K52" s="1536"/>
      <c r="L52" s="1536"/>
      <c r="M52" s="1543"/>
      <c r="N52" s="1540"/>
      <c r="O52" s="422"/>
      <c r="P52" s="422">
        <f t="shared" si="32"/>
        <v>0</v>
      </c>
    </row>
    <row r="53" spans="1:19" ht="47.25">
      <c r="A53" s="1556" t="str">
        <f>'Nhân công Nen'!A10</f>
        <v>2.1</v>
      </c>
      <c r="B53" s="1557" t="str">
        <f>'Nhân công Nen'!B10</f>
        <v>Xử lý tiếp biên dữ liệu không gian đất đai nền giữa các đơn vị hành chính cấp xã, cấp huyện liền kề</v>
      </c>
      <c r="C53" s="1556" t="str">
        <f>'Nhân công Nen'!C10</f>
        <v>Xã</v>
      </c>
      <c r="D53" s="1558">
        <f>'Nhân công Nen'!G10</f>
        <v>2561653.846153846</v>
      </c>
      <c r="E53" s="1559">
        <f>'Dụng cụ Nen'!E21</f>
        <v>34218.970378739999</v>
      </c>
      <c r="F53" s="1559">
        <f>'Vật liệu Nen'!E23</f>
        <v>458843.18400000007</v>
      </c>
      <c r="G53" s="1528">
        <f>'Thiết bị Nen'!I27</f>
        <v>605280</v>
      </c>
      <c r="H53" s="1528">
        <f>'Thiết bị Nen'!I31</f>
        <v>75532.799999999988</v>
      </c>
      <c r="I53" s="1528">
        <f t="shared" si="24"/>
        <v>3735528.8005325859</v>
      </c>
      <c r="J53" s="1528">
        <f t="shared" si="29"/>
        <v>560329.32007988787</v>
      </c>
      <c r="K53" s="1528">
        <f t="shared" si="30"/>
        <v>4295858.1206124742</v>
      </c>
      <c r="L53" s="1543">
        <f t="shared" si="31"/>
        <v>3690578.1206124742</v>
      </c>
      <c r="M53" s="1543">
        <f t="shared" si="1"/>
        <v>79084.615384615376</v>
      </c>
      <c r="N53" s="1540">
        <f>L_CBan!$K$62*'Nhân công Nen'!E10</f>
        <v>68769.230769230766</v>
      </c>
      <c r="O53" s="422">
        <f t="shared" si="28"/>
        <v>10315.384615384615</v>
      </c>
      <c r="P53" s="422">
        <f t="shared" si="32"/>
        <v>85917162.412249476</v>
      </c>
      <c r="R53" s="1788">
        <f>SUM(E48:E54)</f>
        <v>133459.32285</v>
      </c>
    </row>
    <row r="54" spans="1:19" ht="47.25">
      <c r="A54" s="1561" t="str">
        <f>'Nhân công Nen'!A11</f>
        <v>2.2</v>
      </c>
      <c r="B54" s="1562" t="str">
        <f>'Nhân công Nen'!B11</f>
        <v>Tích hợp dữ liệu không gian đất đai nền vào CSDL đất đai để quản lý, vận hành, khai thác sử dụng</v>
      </c>
      <c r="C54" s="1561" t="str">
        <f>'Nhân công Nen'!C11</f>
        <v>Xã</v>
      </c>
      <c r="D54" s="1563">
        <f>'Nhân công Nen'!G11</f>
        <v>1067355.7692307692</v>
      </c>
      <c r="E54" s="1564">
        <f>'Dụng cụ Nen'!E22</f>
        <v>14253.455680380001</v>
      </c>
      <c r="F54" s="1564">
        <f>'Vật liệu Nen'!E24</f>
        <v>191125.00800000003</v>
      </c>
      <c r="G54" s="1545">
        <f>'Thiết bị Nen'!I32</f>
        <v>339590</v>
      </c>
      <c r="H54" s="1545">
        <f>'Thiết bị Nen'!I38</f>
        <v>31427.040000000001</v>
      </c>
      <c r="I54" s="1545">
        <f t="shared" si="24"/>
        <v>1643751.2729111495</v>
      </c>
      <c r="J54" s="1545">
        <f t="shared" si="29"/>
        <v>246562.69093667241</v>
      </c>
      <c r="K54" s="1545">
        <f t="shared" si="30"/>
        <v>1890313.963847822</v>
      </c>
      <c r="L54" s="1546">
        <f t="shared" si="31"/>
        <v>1550723.963847822</v>
      </c>
      <c r="M54" s="1543">
        <f t="shared" si="1"/>
        <v>32951.923076923078</v>
      </c>
      <c r="N54" s="1540">
        <f>L_CBan!$K$62*'Nhân công Nen'!E11</f>
        <v>28653.846153846152</v>
      </c>
      <c r="O54" s="422">
        <f t="shared" si="28"/>
        <v>4298.0769230769229</v>
      </c>
      <c r="P54" s="422">
        <f t="shared" si="32"/>
        <v>37806279.276956439</v>
      </c>
      <c r="R54" s="1788">
        <f>SUM(F48:F54)</f>
        <v>1789560.0000000005</v>
      </c>
    </row>
    <row r="55" spans="1:19">
      <c r="A55" s="1548" t="s">
        <v>1101</v>
      </c>
      <c r="B55" s="1549" t="str">
        <f>'Nhân công quet'!B3</f>
        <v>Quét giấy tờ pháp lý và xử lý tập tin</v>
      </c>
      <c r="C55" s="1550"/>
      <c r="D55" s="1565"/>
      <c r="E55" s="1566"/>
      <c r="F55" s="1567"/>
      <c r="G55" s="1568"/>
      <c r="H55" s="1568"/>
      <c r="I55" s="1569"/>
      <c r="J55" s="1568"/>
      <c r="K55" s="1569"/>
      <c r="L55" s="1570"/>
      <c r="M55" s="1570"/>
      <c r="N55" s="1540"/>
      <c r="R55" s="1788">
        <f>SUM(G48:G54)</f>
        <v>2447962</v>
      </c>
    </row>
    <row r="56" spans="1:19" s="1535" customFormat="1" ht="47.25">
      <c r="A56" s="1554">
        <f>'Nhân công quet'!A4</f>
        <v>1</v>
      </c>
      <c r="B56" s="1555" t="str">
        <f>'Nhân công quet'!B4</f>
        <v>Quét giấy tờ pháp lý về quyền sử dụng đất, quyền sở hữu nhà ở và tài sản khác gắn liền với đất</v>
      </c>
      <c r="C56" s="1554"/>
      <c r="D56" s="1571"/>
      <c r="E56" s="1572"/>
      <c r="F56" s="1572"/>
      <c r="G56" s="1536"/>
      <c r="H56" s="1536"/>
      <c r="I56" s="1536"/>
      <c r="J56" s="1536"/>
      <c r="K56" s="1536"/>
      <c r="L56" s="1536"/>
      <c r="M56" s="1573"/>
      <c r="N56" s="1540"/>
      <c r="R56" s="1798">
        <f>SUM(H48:H54)</f>
        <v>294443.03999999998</v>
      </c>
    </row>
    <row r="57" spans="1:19">
      <c r="A57" s="1556" t="str">
        <f>'Nhân công quet'!A5</f>
        <v>1.1</v>
      </c>
      <c r="B57" s="1574" t="str">
        <f>'Nhân công quet'!B5</f>
        <v>Quét trang A3</v>
      </c>
      <c r="C57" s="1556" t="str">
        <f>'Nhân công quet'!C5</f>
        <v>Trang A3</v>
      </c>
      <c r="D57" s="1558">
        <f>'Nhân công quet'!G5</f>
        <v>2001.1158461538462</v>
      </c>
      <c r="E57" s="1575">
        <f>'Dụng cụ quet'!G5</f>
        <v>67.249819230769219</v>
      </c>
      <c r="F57" s="1575">
        <f>'Vật liệu quet'!F6</f>
        <v>399.05</v>
      </c>
      <c r="G57" s="1528">
        <f>'Thiết bị quet'!I6</f>
        <v>168.48</v>
      </c>
      <c r="H57" s="1528">
        <f>'Thiết bị quet'!I11</f>
        <v>230.6448</v>
      </c>
      <c r="I57" s="1528">
        <f>SUM(D57:H57)</f>
        <v>2866.5404653846158</v>
      </c>
      <c r="J57" s="1528">
        <f t="shared" ref="J57" si="33">I57*0.15</f>
        <v>429.98106980769234</v>
      </c>
      <c r="K57" s="1528">
        <f t="shared" ref="K57" si="34">I57+J57</f>
        <v>3296.521535192308</v>
      </c>
      <c r="L57" s="1543">
        <f t="shared" ref="L57" si="35">K57-G57</f>
        <v>3128.0415351923079</v>
      </c>
      <c r="M57" s="1544">
        <f t="shared" ref="M57:M60" si="36">+N57+O57</f>
        <v>79.08461538461539</v>
      </c>
      <c r="N57" s="1540">
        <f>L_CBan!$K$62*'Nhân công quet'!E5</f>
        <v>68.769230769230774</v>
      </c>
      <c r="O57" s="422">
        <f t="shared" ref="O57:O60" si="37">+N57*0.15</f>
        <v>10.315384615384616</v>
      </c>
      <c r="P57" s="422">
        <f>3200*4*20*K57</f>
        <v>843909513.00923085</v>
      </c>
      <c r="Q57" s="422" t="s">
        <v>1112</v>
      </c>
    </row>
    <row r="58" spans="1:19">
      <c r="A58" s="1556" t="str">
        <f>'Nhân công quet'!A6</f>
        <v>1.2</v>
      </c>
      <c r="B58" s="1574" t="str">
        <f>'Nhân công quet'!B6</f>
        <v>Quét trang A4</v>
      </c>
      <c r="C58" s="1556" t="str">
        <f>'Nhân công quet'!C6</f>
        <v xml:space="preserve">Trang A4 </v>
      </c>
      <c r="D58" s="1558">
        <f>'Nhân công quet'!G6</f>
        <v>1334.0772307692307</v>
      </c>
      <c r="E58" s="1575">
        <f>'Dụng cụ quet'!G13</f>
        <v>66.357511538461537</v>
      </c>
      <c r="F58" s="1575">
        <f>'Vật liệu quet'!F15</f>
        <v>386.3</v>
      </c>
      <c r="G58" s="1528">
        <f>'Thiết bị quet'!I12</f>
        <v>55.900000000000006</v>
      </c>
      <c r="H58" s="1528">
        <f>'Thiết bị quet'!I17</f>
        <v>136.22880000000001</v>
      </c>
      <c r="I58" s="1528">
        <f>SUM(D58:H58)</f>
        <v>1978.8635423076923</v>
      </c>
      <c r="J58" s="1528">
        <f t="shared" ref="J58:J60" si="38">I58*0.15</f>
        <v>296.82953134615383</v>
      </c>
      <c r="K58" s="1528">
        <f t="shared" ref="K58:K59" si="39">I58+J58</f>
        <v>2275.6930736538461</v>
      </c>
      <c r="L58" s="1543">
        <f t="shared" ref="L58:L59" si="40">K58-G58</f>
        <v>2219.793073653846</v>
      </c>
      <c r="M58" s="1544">
        <f t="shared" si="36"/>
        <v>52.723076923076924</v>
      </c>
      <c r="N58" s="1540">
        <f>L_CBan!$K$62*'Nhân công quet'!E6</f>
        <v>45.846153846153847</v>
      </c>
      <c r="O58" s="422">
        <f t="shared" si="37"/>
        <v>6.8769230769230765</v>
      </c>
      <c r="P58" s="422">
        <f>3*3200*20*K58</f>
        <v>436933070.14153844</v>
      </c>
      <c r="Q58" s="422" t="s">
        <v>1113</v>
      </c>
    </row>
    <row r="59" spans="1:19" s="1535" customFormat="1" ht="63">
      <c r="A59" s="1554">
        <f>'Nhân công quet'!A7</f>
        <v>2</v>
      </c>
      <c r="B59" s="1555" t="str">
        <f>'Nhân công quet'!B7</f>
        <v>Xử lý các tệp tin quét thành tệp (File) hồ sơ quét dạng số của thửa đất, lưu trữ dưới khuôn dạng tệp tin PDF (ở định dạng không chỉnh sửa được)</v>
      </c>
      <c r="C59" s="1576" t="str">
        <f>'Nhân công quet'!C7</f>
        <v>Trang A3,A4</v>
      </c>
      <c r="D59" s="1571">
        <f>'Nhân công quet'!G7</f>
        <v>667.03861538461535</v>
      </c>
      <c r="E59" s="1577">
        <f>'Dụng cụ quet'!G21</f>
        <v>47.821203846153843</v>
      </c>
      <c r="F59" s="1577">
        <f>'Vật liệu quet'!F24</f>
        <v>340.2</v>
      </c>
      <c r="G59" s="1536">
        <f>'Thiết bị quet'!I18</f>
        <v>13.700000000000001</v>
      </c>
      <c r="H59" s="1536">
        <f>'Thiết bị quet'!I21</f>
        <v>25.627199999999998</v>
      </c>
      <c r="I59" s="1536">
        <f>SUM(D59:H59)</f>
        <v>1094.3870192307691</v>
      </c>
      <c r="J59" s="1536">
        <f t="shared" si="38"/>
        <v>164.15805288461536</v>
      </c>
      <c r="K59" s="1536">
        <f t="shared" si="39"/>
        <v>1258.5450721153843</v>
      </c>
      <c r="L59" s="1536">
        <f t="shared" si="40"/>
        <v>1244.8450721153843</v>
      </c>
      <c r="M59" s="1584">
        <f t="shared" si="36"/>
        <v>26.361538461538462</v>
      </c>
      <c r="N59" s="1540">
        <f>L_CBan!$K$62*'Nhân công quet'!E7</f>
        <v>22.923076923076923</v>
      </c>
      <c r="O59" s="422">
        <f t="shared" si="37"/>
        <v>3.4384615384615382</v>
      </c>
      <c r="P59" s="1535">
        <f>11*3200*20*K59</f>
        <v>886015730.7692306</v>
      </c>
      <c r="S59" s="1798">
        <f>SUM(D57:D60)</f>
        <v>5669.8282307692307</v>
      </c>
    </row>
    <row r="60" spans="1:19" s="1535" customFormat="1" ht="31.5">
      <c r="A60" s="1578">
        <f>'Nhân công quet'!A8</f>
        <v>3</v>
      </c>
      <c r="B60" s="1579" t="str">
        <f>'Nhân công quet'!B8</f>
        <v>Tạo liên kết hồ sơ quét dạng số với thửa đất trong CSDL</v>
      </c>
      <c r="C60" s="1578" t="str">
        <f>'Nhân công quet'!C8</f>
        <v>Thửa</v>
      </c>
      <c r="D60" s="1580">
        <f>'Nhân công quet'!G8</f>
        <v>1667.5965384615386</v>
      </c>
      <c r="E60" s="1581">
        <f>'Dụng cụ quet'!G27</f>
        <v>23.910601923076921</v>
      </c>
      <c r="F60" s="1581">
        <f>'Vật liệu quet'!F30</f>
        <v>169.6</v>
      </c>
      <c r="G60" s="1582">
        <f>'Thiết bị quet'!I22</f>
        <v>74.452399999999997</v>
      </c>
      <c r="H60" s="1582">
        <f>'Thiết bị quet'!I27</f>
        <v>90.369600000000005</v>
      </c>
      <c r="I60" s="1582">
        <f>SUM(D60:H60)</f>
        <v>2025.9291403846153</v>
      </c>
      <c r="J60" s="1582">
        <f t="shared" si="38"/>
        <v>303.8893710576923</v>
      </c>
      <c r="K60" s="1582">
        <f>I60+J60</f>
        <v>2329.8185114423077</v>
      </c>
      <c r="L60" s="1582">
        <f>K60-G60</f>
        <v>2255.3661114423076</v>
      </c>
      <c r="M60" s="1585">
        <f t="shared" si="36"/>
        <v>65.903846153846146</v>
      </c>
      <c r="N60" s="1540">
        <f>L_CBan!$K$62*'Nhân công quet'!E8</f>
        <v>57.307692307692307</v>
      </c>
      <c r="O60" s="422">
        <f t="shared" si="37"/>
        <v>8.5961538461538449</v>
      </c>
      <c r="P60" s="1535">
        <f>+K60*Q2</f>
        <v>298216769.4646154</v>
      </c>
      <c r="S60" s="1798">
        <f>SUM(E57:E60)</f>
        <v>205.33913653846153</v>
      </c>
    </row>
    <row r="61" spans="1:19">
      <c r="P61" s="1589">
        <f>+SUM(P8:P60)</f>
        <v>10368885430.185621</v>
      </c>
    </row>
    <row r="62" spans="1:19">
      <c r="P62" s="422">
        <f>+P61*0.1</f>
        <v>1036888543.0185622</v>
      </c>
      <c r="S62" s="1788">
        <f>SUM(F57:F60)</f>
        <v>1295.1499999999999</v>
      </c>
    </row>
    <row r="63" spans="1:19">
      <c r="P63" s="1590">
        <f>+P62+P61</f>
        <v>11405773973.204184</v>
      </c>
      <c r="S63" s="1788">
        <f>SUM(G57:G60)</f>
        <v>312.5324</v>
      </c>
    </row>
    <row r="64" spans="1:19">
      <c r="S64" s="1788">
        <f>SUM(H57:H60)</f>
        <v>482.87040000000002</v>
      </c>
    </row>
  </sheetData>
  <mergeCells count="18">
    <mergeCell ref="F4:F5"/>
    <mergeCell ref="D3:I3"/>
    <mergeCell ref="I4:I5"/>
    <mergeCell ref="L3:L5"/>
    <mergeCell ref="A1:M1"/>
    <mergeCell ref="N3:N5"/>
    <mergeCell ref="O3:O5"/>
    <mergeCell ref="M3:M5"/>
    <mergeCell ref="A2:F2"/>
    <mergeCell ref="I2:L2"/>
    <mergeCell ref="A3:A5"/>
    <mergeCell ref="B3:B5"/>
    <mergeCell ref="C3:C5"/>
    <mergeCell ref="G4:H4"/>
    <mergeCell ref="J3:J5"/>
    <mergeCell ref="K3:K5"/>
    <mergeCell ref="D4:D5"/>
    <mergeCell ref="E4:E5"/>
  </mergeCells>
  <pageMargins left="0.75" right="0" top="0.90551181102362199" bottom="0.48622047200000001" header="0.511811023622047" footer="0.23622047244094499"/>
  <pageSetup paperSize="9" firstPageNumber="8" orientation="landscape" useFirstPageNumber="1" horizontalDpi="1200" verticalDpi="1200" r:id="rId1"/>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topLeftCell="A4" workbookViewId="0">
      <selection activeCell="F6" sqref="F6:F9"/>
    </sheetView>
  </sheetViews>
  <sheetFormatPr defaultRowHeight="15"/>
  <cols>
    <col min="1" max="1" width="4.25" bestFit="1" customWidth="1"/>
    <col min="2" max="2" width="43.375" customWidth="1"/>
    <col min="3" max="3" width="15.25" bestFit="1" customWidth="1"/>
    <col min="4" max="4" width="18.125" bestFit="1" customWidth="1"/>
    <col min="5" max="5" width="15.5" bestFit="1" customWidth="1"/>
    <col min="6" max="6" width="11.875" bestFit="1" customWidth="1"/>
    <col min="7" max="7" width="12.625" bestFit="1" customWidth="1"/>
  </cols>
  <sheetData>
    <row r="2" spans="1:7" ht="15.75">
      <c r="A2" s="1906" t="s">
        <v>1049</v>
      </c>
      <c r="B2" s="1906"/>
      <c r="C2" s="1906"/>
      <c r="D2" s="1906"/>
      <c r="E2" s="1906"/>
      <c r="F2" s="1906"/>
    </row>
    <row r="3" spans="1:7" ht="15.75">
      <c r="A3" s="1466"/>
      <c r="B3" s="1466"/>
      <c r="C3" s="1466"/>
      <c r="D3" s="1466"/>
      <c r="E3" s="1466"/>
      <c r="F3" s="1466"/>
    </row>
    <row r="4" spans="1:7" ht="15.75">
      <c r="A4" s="1471" t="s">
        <v>10</v>
      </c>
      <c r="B4" s="1471" t="s">
        <v>1052</v>
      </c>
      <c r="C4" s="1472"/>
      <c r="D4" s="1472"/>
      <c r="E4" s="1471" t="s">
        <v>28</v>
      </c>
      <c r="F4" s="1471" t="s">
        <v>1053</v>
      </c>
    </row>
    <row r="5" spans="1:7" ht="15.75">
      <c r="A5" s="1466">
        <v>1</v>
      </c>
      <c r="B5" s="1907" t="s">
        <v>1079</v>
      </c>
      <c r="C5" s="1901"/>
      <c r="D5" s="1901"/>
      <c r="E5" s="1466" t="s">
        <v>1054</v>
      </c>
      <c r="F5" s="1466">
        <v>1</v>
      </c>
    </row>
    <row r="6" spans="1:7" ht="15.75">
      <c r="A6" s="1466">
        <v>2</v>
      </c>
      <c r="B6" s="1900" t="s">
        <v>1078</v>
      </c>
      <c r="C6" s="1901"/>
      <c r="D6" s="1901"/>
      <c r="E6" s="1466" t="s">
        <v>1054</v>
      </c>
      <c r="F6" s="1466">
        <v>1.2</v>
      </c>
    </row>
    <row r="7" spans="1:7" ht="15.75">
      <c r="A7" s="1466">
        <v>3</v>
      </c>
      <c r="B7" s="1900" t="s">
        <v>1080</v>
      </c>
      <c r="C7" s="1901"/>
      <c r="D7" s="1901"/>
      <c r="E7" s="1466" t="s">
        <v>1054</v>
      </c>
      <c r="F7" s="1466">
        <v>0.5</v>
      </c>
    </row>
    <row r="8" spans="1:7" ht="15.75">
      <c r="A8" s="1466">
        <v>4</v>
      </c>
      <c r="B8" s="1900" t="s">
        <v>1081</v>
      </c>
      <c r="C8" s="1901"/>
      <c r="D8" s="1901"/>
      <c r="E8" s="1466" t="s">
        <v>1054</v>
      </c>
      <c r="F8" s="1466">
        <v>0.5</v>
      </c>
    </row>
    <row r="9" spans="1:7" ht="15.75">
      <c r="A9" s="1471" t="s">
        <v>11</v>
      </c>
      <c r="B9" s="1902" t="s">
        <v>1055</v>
      </c>
      <c r="C9" s="1903"/>
      <c r="D9" s="1903"/>
      <c r="E9" s="1471"/>
      <c r="F9" s="1471" t="s">
        <v>19</v>
      </c>
    </row>
    <row r="10" spans="1:7" ht="15.75">
      <c r="A10" s="1474" t="s">
        <v>248</v>
      </c>
      <c r="B10" s="1904" t="s">
        <v>1057</v>
      </c>
      <c r="C10" s="1905"/>
      <c r="D10" s="1905"/>
      <c r="E10" s="1475"/>
      <c r="F10" s="1475"/>
    </row>
    <row r="11" spans="1:7" ht="15.75">
      <c r="A11" s="1466">
        <v>1</v>
      </c>
      <c r="B11" s="1900" t="s">
        <v>1058</v>
      </c>
      <c r="C11" s="1901"/>
      <c r="D11" s="1901"/>
      <c r="E11" s="1466"/>
      <c r="F11" s="1473">
        <f>'Tinh thu theo du thao'!E9+'Tinh thu theo du thao'!E11+'Tinh thu theo du thao'!E12+'Tinh thu theo du thao'!E13+'Tinh thu theo du thao'!E35+'Tinh thu theo du thao'!E36+'Tinh thu theo du thao'!E37</f>
        <v>11976.983948790616</v>
      </c>
    </row>
    <row r="12" spans="1:7" ht="15.75">
      <c r="A12" s="1466">
        <v>2</v>
      </c>
      <c r="B12" s="1900" t="s">
        <v>1059</v>
      </c>
      <c r="C12" s="1901"/>
      <c r="D12" s="1901"/>
      <c r="E12" s="1466"/>
      <c r="F12" s="1473">
        <f>'Tinh thu theo du thao'!E35+'Tinh thu theo du thao'!E36+'Tinh thu theo du thao'!E37</f>
        <v>5271.4662343533837</v>
      </c>
      <c r="G12" s="1466" t="s">
        <v>1060</v>
      </c>
    </row>
    <row r="13" spans="1:7" ht="15.75">
      <c r="A13" s="1474" t="s">
        <v>1046</v>
      </c>
      <c r="B13" s="1904" t="s">
        <v>1061</v>
      </c>
      <c r="C13" s="1905"/>
      <c r="D13" s="1905"/>
      <c r="E13" s="1475"/>
      <c r="F13" s="1475"/>
    </row>
    <row r="14" spans="1:7" ht="15.75">
      <c r="A14" s="1466">
        <v>1</v>
      </c>
      <c r="B14" s="1900" t="s">
        <v>1062</v>
      </c>
      <c r="C14" s="1901"/>
      <c r="D14" s="1901"/>
      <c r="E14" s="1466"/>
      <c r="F14" s="1473">
        <f>'Tinh thu theo du thao'!E7+'Tinh thu theo du thao'!E8+ 'Tinh thu theo du thao'!E24+'Tinh thu theo du thao'!E25+'Tinh thu theo du thao'!E29+'Tinh thu theo du thao'!E30+'Tinh thu theo du thao'!E32+'Tinh thu theo du thao'!E33+'Tinh thu theo du thao'!E39</f>
        <v>8111.5050870521545</v>
      </c>
    </row>
    <row r="15" spans="1:7" ht="15.75">
      <c r="A15" s="1466">
        <v>2</v>
      </c>
      <c r="B15" s="1900" t="s">
        <v>1063</v>
      </c>
      <c r="C15" s="1901"/>
      <c r="D15" s="1901"/>
      <c r="E15" s="1466"/>
      <c r="F15" s="1466"/>
    </row>
    <row r="16" spans="1:7" ht="15.75">
      <c r="A16" s="1466"/>
      <c r="B16" s="1900" t="s">
        <v>1064</v>
      </c>
      <c r="C16" s="1901"/>
      <c r="D16" s="1901"/>
      <c r="E16" s="1466"/>
      <c r="F16" s="1473">
        <f>'Tinh thu theo du thao'!E16+'Tinh thu theo du thao'!E17+'Tinh thu theo du thao'!E18+'Tinh thu theo du thao'!E19</f>
        <v>6186.5821459993849</v>
      </c>
    </row>
    <row r="17" spans="1:6" ht="15.75">
      <c r="A17" s="1466">
        <v>3</v>
      </c>
      <c r="B17" s="1466" t="s">
        <v>1065</v>
      </c>
      <c r="C17" s="1466"/>
      <c r="D17" s="1466"/>
      <c r="E17" s="1466"/>
      <c r="F17" s="1476">
        <f>'Tinh thu theo du thao'!E27</f>
        <v>26044.981455704154</v>
      </c>
    </row>
    <row r="18" spans="1:6" ht="15.75">
      <c r="A18" s="1466">
        <v>4</v>
      </c>
      <c r="B18" s="1466" t="s">
        <v>1066</v>
      </c>
      <c r="C18" s="1466"/>
      <c r="D18" s="1466"/>
      <c r="E18" s="1466"/>
      <c r="F18" s="1473"/>
    </row>
    <row r="19" spans="1:6" ht="15.75">
      <c r="A19" s="1466"/>
      <c r="B19" s="1466" t="s">
        <v>1067</v>
      </c>
      <c r="C19" s="1466"/>
      <c r="D19" s="1466"/>
      <c r="E19" s="1466"/>
      <c r="F19" s="1473" t="e">
        <f>'Nhân công quet'!#REF!</f>
        <v>#REF!</v>
      </c>
    </row>
    <row r="20" spans="1:6" ht="15.75">
      <c r="A20" s="1466"/>
      <c r="B20" s="1466" t="s">
        <v>1068</v>
      </c>
      <c r="C20" s="1466"/>
      <c r="D20" s="1466"/>
      <c r="E20" s="1466"/>
      <c r="F20" s="1473" t="e">
        <f>'Nhân công quet'!#REF!</f>
        <v>#REF!</v>
      </c>
    </row>
    <row r="21" spans="1:6" ht="15.75">
      <c r="A21" s="1471" t="s">
        <v>12</v>
      </c>
      <c r="B21" s="1471" t="s">
        <v>1069</v>
      </c>
      <c r="C21" s="1466"/>
      <c r="D21" s="1466"/>
      <c r="E21" s="1466"/>
      <c r="F21" s="1473"/>
    </row>
    <row r="22" spans="1:6" ht="15.75">
      <c r="A22" s="1468" t="s">
        <v>14</v>
      </c>
      <c r="B22" s="1469" t="s">
        <v>1047</v>
      </c>
      <c r="C22" s="1469" t="s">
        <v>1048</v>
      </c>
      <c r="D22" s="1469" t="s">
        <v>764</v>
      </c>
      <c r="E22" s="1469" t="s">
        <v>767</v>
      </c>
      <c r="F22" s="1469" t="s">
        <v>35</v>
      </c>
    </row>
    <row r="23" spans="1:6" ht="15.75">
      <c r="A23" s="1477" t="s">
        <v>10</v>
      </c>
      <c r="B23" s="1478" t="s">
        <v>1070</v>
      </c>
      <c r="C23" s="1467"/>
      <c r="D23" s="1467"/>
      <c r="E23" s="1467"/>
      <c r="F23" s="1467"/>
    </row>
    <row r="24" spans="1:6" ht="31.5">
      <c r="A24" s="1477" t="s">
        <v>11</v>
      </c>
      <c r="B24" s="1478" t="s">
        <v>1056</v>
      </c>
      <c r="C24" s="1470"/>
      <c r="D24" s="1470"/>
      <c r="E24" s="1470"/>
      <c r="F24" s="1470"/>
    </row>
    <row r="25" spans="1:6" ht="31.5">
      <c r="A25" s="1477"/>
      <c r="B25" s="1480" t="s">
        <v>1058</v>
      </c>
      <c r="C25" s="1470">
        <f>F11</f>
        <v>11976.983948790616</v>
      </c>
      <c r="D25" s="1470">
        <f t="shared" ref="D25:D33" si="0">C25*15%</f>
        <v>1796.5475923185923</v>
      </c>
      <c r="E25" s="1470">
        <f t="shared" ref="E25:E33" si="1">(C25+D25)*10%</f>
        <v>1377.353154110921</v>
      </c>
      <c r="F25" s="1470">
        <f t="shared" ref="F25:F33" si="2">C25+D25+E25</f>
        <v>15150.884695220129</v>
      </c>
    </row>
    <row r="26" spans="1:6" ht="15.75">
      <c r="A26" s="1477"/>
      <c r="B26" s="1480" t="s">
        <v>1059</v>
      </c>
      <c r="C26" s="1470">
        <f>F12</f>
        <v>5271.4662343533837</v>
      </c>
      <c r="D26" s="1470">
        <f t="shared" si="0"/>
        <v>790.71993515300755</v>
      </c>
      <c r="E26" s="1470">
        <f t="shared" si="1"/>
        <v>606.2186169506391</v>
      </c>
      <c r="F26" s="1470">
        <f t="shared" si="2"/>
        <v>6668.4047864570302</v>
      </c>
    </row>
    <row r="27" spans="1:6" ht="15.75">
      <c r="A27" s="1477" t="s">
        <v>12</v>
      </c>
      <c r="B27" s="1478" t="s">
        <v>1045</v>
      </c>
      <c r="C27" s="1470"/>
      <c r="D27" s="1470"/>
      <c r="E27" s="1470"/>
      <c r="F27" s="1470"/>
    </row>
    <row r="28" spans="1:6" ht="15.75">
      <c r="A28" s="1477" t="s">
        <v>248</v>
      </c>
      <c r="B28" s="1478" t="s">
        <v>1072</v>
      </c>
      <c r="C28" s="1470"/>
      <c r="D28" s="1470"/>
      <c r="E28" s="1470"/>
      <c r="F28" s="1470"/>
    </row>
    <row r="29" spans="1:6" ht="15.75">
      <c r="A29" s="1479">
        <v>1</v>
      </c>
      <c r="B29" s="1480" t="s">
        <v>1074</v>
      </c>
      <c r="C29" s="1470" t="e">
        <f>F14+F16+F17*1+F19</f>
        <v>#REF!</v>
      </c>
      <c r="D29" s="1470" t="e">
        <f t="shared" si="0"/>
        <v>#REF!</v>
      </c>
      <c r="E29" s="1470" t="e">
        <f t="shared" si="1"/>
        <v>#REF!</v>
      </c>
      <c r="F29" s="1470" t="e">
        <f t="shared" si="2"/>
        <v>#REF!</v>
      </c>
    </row>
    <row r="30" spans="1:6" ht="15.75">
      <c r="A30" s="1479">
        <v>2</v>
      </c>
      <c r="B30" s="1480" t="s">
        <v>1073</v>
      </c>
      <c r="C30" s="1470" t="e">
        <f>F14+F16+(F17*1.2)+F19</f>
        <v>#REF!</v>
      </c>
      <c r="D30" s="1470" t="e">
        <f t="shared" si="0"/>
        <v>#REF!</v>
      </c>
      <c r="E30" s="1470" t="e">
        <f t="shared" si="1"/>
        <v>#REF!</v>
      </c>
      <c r="F30" s="1470" t="e">
        <f t="shared" si="2"/>
        <v>#REF!</v>
      </c>
    </row>
    <row r="31" spans="1:6" ht="15.75">
      <c r="A31" s="1479">
        <v>3</v>
      </c>
      <c r="B31" s="1480" t="s">
        <v>1075</v>
      </c>
      <c r="C31" s="1470" t="e">
        <f>F14+F16+F17*0.5+F19</f>
        <v>#REF!</v>
      </c>
      <c r="D31" s="1470" t="e">
        <f t="shared" si="0"/>
        <v>#REF!</v>
      </c>
      <c r="E31" s="1470" t="e">
        <f t="shared" si="1"/>
        <v>#REF!</v>
      </c>
      <c r="F31" s="1470" t="e">
        <f t="shared" si="2"/>
        <v>#REF!</v>
      </c>
    </row>
    <row r="32" spans="1:6" ht="16.5" customHeight="1">
      <c r="A32" s="1479">
        <v>4</v>
      </c>
      <c r="B32" s="1480" t="s">
        <v>1076</v>
      </c>
      <c r="C32" s="1470" t="e">
        <f>F14+F16+F17*0.5+F20</f>
        <v>#REF!</v>
      </c>
      <c r="D32" s="1470" t="e">
        <f t="shared" si="0"/>
        <v>#REF!</v>
      </c>
      <c r="E32" s="1470" t="e">
        <f t="shared" si="1"/>
        <v>#REF!</v>
      </c>
      <c r="F32" s="1470" t="e">
        <f t="shared" si="2"/>
        <v>#REF!</v>
      </c>
    </row>
    <row r="33" spans="1:6" ht="15.75">
      <c r="A33" s="1479">
        <v>5</v>
      </c>
      <c r="B33" s="1480" t="s">
        <v>1077</v>
      </c>
      <c r="C33" s="1470">
        <f>F14+F16</f>
        <v>14298.087233051539</v>
      </c>
      <c r="D33" s="1470">
        <f t="shared" si="0"/>
        <v>2144.7130849577306</v>
      </c>
      <c r="E33" s="1470">
        <f t="shared" si="1"/>
        <v>1644.2800318009272</v>
      </c>
      <c r="F33" s="1470">
        <f t="shared" si="2"/>
        <v>18087.0803498102</v>
      </c>
    </row>
  </sheetData>
  <mergeCells count="13">
    <mergeCell ref="B7:D7"/>
    <mergeCell ref="B8:D8"/>
    <mergeCell ref="A2:F2"/>
    <mergeCell ref="B5:D5"/>
    <mergeCell ref="B6:D6"/>
    <mergeCell ref="B14:D14"/>
    <mergeCell ref="B15:D15"/>
    <mergeCell ref="B16:D16"/>
    <mergeCell ref="B9:D9"/>
    <mergeCell ref="B10:D10"/>
    <mergeCell ref="B11:D11"/>
    <mergeCell ref="B12:D12"/>
    <mergeCell ref="B13:D13"/>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42"/>
  <sheetViews>
    <sheetView topLeftCell="A7" zoomScale="70" zoomScaleNormal="70" workbookViewId="0">
      <selection activeCell="F6" sqref="F6:F9"/>
    </sheetView>
  </sheetViews>
  <sheetFormatPr defaultRowHeight="12.75"/>
  <cols>
    <col min="1" max="1" width="5" style="1030" bestFit="1" customWidth="1"/>
    <col min="2" max="2" width="42.625" style="1030" customWidth="1"/>
    <col min="3" max="3" width="7.625" style="1030" bestFit="1" customWidth="1"/>
    <col min="4" max="4" width="6" style="1030" customWidth="1"/>
    <col min="5" max="5" width="14" style="1030" customWidth="1"/>
    <col min="6" max="6" width="17" style="1123" customWidth="1"/>
    <col min="7" max="7" width="15.625" style="1123" customWidth="1"/>
    <col min="8" max="8" width="16.5" style="1123" customWidth="1"/>
    <col min="9" max="9" width="16.125" style="1123" customWidth="1"/>
    <col min="10" max="10" width="12.125" style="1123" customWidth="1"/>
    <col min="11" max="11" width="13.375" style="1123" bestFit="1" customWidth="1"/>
    <col min="12" max="12" width="11" style="1030" bestFit="1" customWidth="1"/>
    <col min="13" max="250" width="8.875" style="1030"/>
    <col min="251" max="251" width="5" style="1030" bestFit="1" customWidth="1"/>
    <col min="252" max="252" width="3" style="1030" bestFit="1" customWidth="1"/>
    <col min="253" max="253" width="42.375" style="1030" customWidth="1"/>
    <col min="254" max="254" width="7.625" style="1030" bestFit="1" customWidth="1"/>
    <col min="255" max="256" width="0" style="1030" hidden="1" customWidth="1"/>
    <col min="257" max="257" width="6" style="1030" bestFit="1" customWidth="1"/>
    <col min="258" max="258" width="11.375" style="1030" customWidth="1"/>
    <col min="259" max="259" width="12.75" style="1030" bestFit="1" customWidth="1"/>
    <col min="260" max="260" width="12.25" style="1030" bestFit="1" customWidth="1"/>
    <col min="261" max="261" width="16.125" style="1030" customWidth="1"/>
    <col min="262" max="262" width="13.375" style="1030" bestFit="1" customWidth="1"/>
    <col min="263" max="263" width="12.125" style="1030" customWidth="1"/>
    <col min="264" max="264" width="13.375" style="1030" bestFit="1" customWidth="1"/>
    <col min="265" max="506" width="8.875" style="1030"/>
    <col min="507" max="507" width="5" style="1030" bestFit="1" customWidth="1"/>
    <col min="508" max="508" width="3" style="1030" bestFit="1" customWidth="1"/>
    <col min="509" max="509" width="42.375" style="1030" customWidth="1"/>
    <col min="510" max="510" width="7.625" style="1030" bestFit="1" customWidth="1"/>
    <col min="511" max="512" width="0" style="1030" hidden="1" customWidth="1"/>
    <col min="513" max="513" width="6" style="1030" bestFit="1" customWidth="1"/>
    <col min="514" max="514" width="11.375" style="1030" customWidth="1"/>
    <col min="515" max="515" width="12.75" style="1030" bestFit="1" customWidth="1"/>
    <col min="516" max="516" width="12.25" style="1030" bestFit="1" customWidth="1"/>
    <col min="517" max="517" width="16.125" style="1030" customWidth="1"/>
    <col min="518" max="518" width="13.375" style="1030" bestFit="1" customWidth="1"/>
    <col min="519" max="519" width="12.125" style="1030" customWidth="1"/>
    <col min="520" max="520" width="13.375" style="1030" bestFit="1" customWidth="1"/>
    <col min="521" max="762" width="8.875" style="1030"/>
    <col min="763" max="763" width="5" style="1030" bestFit="1" customWidth="1"/>
    <col min="764" max="764" width="3" style="1030" bestFit="1" customWidth="1"/>
    <col min="765" max="765" width="42.375" style="1030" customWidth="1"/>
    <col min="766" max="766" width="7.625" style="1030" bestFit="1" customWidth="1"/>
    <col min="767" max="768" width="0" style="1030" hidden="1" customWidth="1"/>
    <col min="769" max="769" width="6" style="1030" bestFit="1" customWidth="1"/>
    <col min="770" max="770" width="11.375" style="1030" customWidth="1"/>
    <col min="771" max="771" width="12.75" style="1030" bestFit="1" customWidth="1"/>
    <col min="772" max="772" width="12.25" style="1030" bestFit="1" customWidth="1"/>
    <col min="773" max="773" width="16.125" style="1030" customWidth="1"/>
    <col min="774" max="774" width="13.375" style="1030" bestFit="1" customWidth="1"/>
    <col min="775" max="775" width="12.125" style="1030" customWidth="1"/>
    <col min="776" max="776" width="13.375" style="1030" bestFit="1" customWidth="1"/>
    <col min="777" max="1018" width="8.875" style="1030"/>
    <col min="1019" max="1019" width="5" style="1030" bestFit="1" customWidth="1"/>
    <col min="1020" max="1020" width="3" style="1030" bestFit="1" customWidth="1"/>
    <col min="1021" max="1021" width="42.375" style="1030" customWidth="1"/>
    <col min="1022" max="1022" width="7.625" style="1030" bestFit="1" customWidth="1"/>
    <col min="1023" max="1024" width="0" style="1030" hidden="1" customWidth="1"/>
    <col min="1025" max="1025" width="6" style="1030" bestFit="1" customWidth="1"/>
    <col min="1026" max="1026" width="11.375" style="1030" customWidth="1"/>
    <col min="1027" max="1027" width="12.75" style="1030" bestFit="1" customWidth="1"/>
    <col min="1028" max="1028" width="12.25" style="1030" bestFit="1" customWidth="1"/>
    <col min="1029" max="1029" width="16.125" style="1030" customWidth="1"/>
    <col min="1030" max="1030" width="13.375" style="1030" bestFit="1" customWidth="1"/>
    <col min="1031" max="1031" width="12.125" style="1030" customWidth="1"/>
    <col min="1032" max="1032" width="13.375" style="1030" bestFit="1" customWidth="1"/>
    <col min="1033" max="1274" width="8.875" style="1030"/>
    <col min="1275" max="1275" width="5" style="1030" bestFit="1" customWidth="1"/>
    <col min="1276" max="1276" width="3" style="1030" bestFit="1" customWidth="1"/>
    <col min="1277" max="1277" width="42.375" style="1030" customWidth="1"/>
    <col min="1278" max="1278" width="7.625" style="1030" bestFit="1" customWidth="1"/>
    <col min="1279" max="1280" width="0" style="1030" hidden="1" customWidth="1"/>
    <col min="1281" max="1281" width="6" style="1030" bestFit="1" customWidth="1"/>
    <col min="1282" max="1282" width="11.375" style="1030" customWidth="1"/>
    <col min="1283" max="1283" width="12.75" style="1030" bestFit="1" customWidth="1"/>
    <col min="1284" max="1284" width="12.25" style="1030" bestFit="1" customWidth="1"/>
    <col min="1285" max="1285" width="16.125" style="1030" customWidth="1"/>
    <col min="1286" max="1286" width="13.375" style="1030" bestFit="1" customWidth="1"/>
    <col min="1287" max="1287" width="12.125" style="1030" customWidth="1"/>
    <col min="1288" max="1288" width="13.375" style="1030" bestFit="1" customWidth="1"/>
    <col min="1289" max="1530" width="8.875" style="1030"/>
    <col min="1531" max="1531" width="5" style="1030" bestFit="1" customWidth="1"/>
    <col min="1532" max="1532" width="3" style="1030" bestFit="1" customWidth="1"/>
    <col min="1533" max="1533" width="42.375" style="1030" customWidth="1"/>
    <col min="1534" max="1534" width="7.625" style="1030" bestFit="1" customWidth="1"/>
    <col min="1535" max="1536" width="0" style="1030" hidden="1" customWidth="1"/>
    <col min="1537" max="1537" width="6" style="1030" bestFit="1" customWidth="1"/>
    <col min="1538" max="1538" width="11.375" style="1030" customWidth="1"/>
    <col min="1539" max="1539" width="12.75" style="1030" bestFit="1" customWidth="1"/>
    <col min="1540" max="1540" width="12.25" style="1030" bestFit="1" customWidth="1"/>
    <col min="1541" max="1541" width="16.125" style="1030" customWidth="1"/>
    <col min="1542" max="1542" width="13.375" style="1030" bestFit="1" customWidth="1"/>
    <col min="1543" max="1543" width="12.125" style="1030" customWidth="1"/>
    <col min="1544" max="1544" width="13.375" style="1030" bestFit="1" customWidth="1"/>
    <col min="1545" max="1786" width="8.875" style="1030"/>
    <col min="1787" max="1787" width="5" style="1030" bestFit="1" customWidth="1"/>
    <col min="1788" max="1788" width="3" style="1030" bestFit="1" customWidth="1"/>
    <col min="1789" max="1789" width="42.375" style="1030" customWidth="1"/>
    <col min="1790" max="1790" width="7.625" style="1030" bestFit="1" customWidth="1"/>
    <col min="1791" max="1792" width="0" style="1030" hidden="1" customWidth="1"/>
    <col min="1793" max="1793" width="6" style="1030" bestFit="1" customWidth="1"/>
    <col min="1794" max="1794" width="11.375" style="1030" customWidth="1"/>
    <col min="1795" max="1795" width="12.75" style="1030" bestFit="1" customWidth="1"/>
    <col min="1796" max="1796" width="12.25" style="1030" bestFit="1" customWidth="1"/>
    <col min="1797" max="1797" width="16.125" style="1030" customWidth="1"/>
    <col min="1798" max="1798" width="13.375" style="1030" bestFit="1" customWidth="1"/>
    <col min="1799" max="1799" width="12.125" style="1030" customWidth="1"/>
    <col min="1800" max="1800" width="13.375" style="1030" bestFit="1" customWidth="1"/>
    <col min="1801" max="2042" width="8.875" style="1030"/>
    <col min="2043" max="2043" width="5" style="1030" bestFit="1" customWidth="1"/>
    <col min="2044" max="2044" width="3" style="1030" bestFit="1" customWidth="1"/>
    <col min="2045" max="2045" width="42.375" style="1030" customWidth="1"/>
    <col min="2046" max="2046" width="7.625" style="1030" bestFit="1" customWidth="1"/>
    <col min="2047" max="2048" width="0" style="1030" hidden="1" customWidth="1"/>
    <col min="2049" max="2049" width="6" style="1030" bestFit="1" customWidth="1"/>
    <col min="2050" max="2050" width="11.375" style="1030" customWidth="1"/>
    <col min="2051" max="2051" width="12.75" style="1030" bestFit="1" customWidth="1"/>
    <col min="2052" max="2052" width="12.25" style="1030" bestFit="1" customWidth="1"/>
    <col min="2053" max="2053" width="16.125" style="1030" customWidth="1"/>
    <col min="2054" max="2054" width="13.375" style="1030" bestFit="1" customWidth="1"/>
    <col min="2055" max="2055" width="12.125" style="1030" customWidth="1"/>
    <col min="2056" max="2056" width="13.375" style="1030" bestFit="1" customWidth="1"/>
    <col min="2057" max="2298" width="8.875" style="1030"/>
    <col min="2299" max="2299" width="5" style="1030" bestFit="1" customWidth="1"/>
    <col min="2300" max="2300" width="3" style="1030" bestFit="1" customWidth="1"/>
    <col min="2301" max="2301" width="42.375" style="1030" customWidth="1"/>
    <col min="2302" max="2302" width="7.625" style="1030" bestFit="1" customWidth="1"/>
    <col min="2303" max="2304" width="0" style="1030" hidden="1" customWidth="1"/>
    <col min="2305" max="2305" width="6" style="1030" bestFit="1" customWidth="1"/>
    <col min="2306" max="2306" width="11.375" style="1030" customWidth="1"/>
    <col min="2307" max="2307" width="12.75" style="1030" bestFit="1" customWidth="1"/>
    <col min="2308" max="2308" width="12.25" style="1030" bestFit="1" customWidth="1"/>
    <col min="2309" max="2309" width="16.125" style="1030" customWidth="1"/>
    <col min="2310" max="2310" width="13.375" style="1030" bestFit="1" customWidth="1"/>
    <col min="2311" max="2311" width="12.125" style="1030" customWidth="1"/>
    <col min="2312" max="2312" width="13.375" style="1030" bestFit="1" customWidth="1"/>
    <col min="2313" max="2554" width="8.875" style="1030"/>
    <col min="2555" max="2555" width="5" style="1030" bestFit="1" customWidth="1"/>
    <col min="2556" max="2556" width="3" style="1030" bestFit="1" customWidth="1"/>
    <col min="2557" max="2557" width="42.375" style="1030" customWidth="1"/>
    <col min="2558" max="2558" width="7.625" style="1030" bestFit="1" customWidth="1"/>
    <col min="2559" max="2560" width="0" style="1030" hidden="1" customWidth="1"/>
    <col min="2561" max="2561" width="6" style="1030" bestFit="1" customWidth="1"/>
    <col min="2562" max="2562" width="11.375" style="1030" customWidth="1"/>
    <col min="2563" max="2563" width="12.75" style="1030" bestFit="1" customWidth="1"/>
    <col min="2564" max="2564" width="12.25" style="1030" bestFit="1" customWidth="1"/>
    <col min="2565" max="2565" width="16.125" style="1030" customWidth="1"/>
    <col min="2566" max="2566" width="13.375" style="1030" bestFit="1" customWidth="1"/>
    <col min="2567" max="2567" width="12.125" style="1030" customWidth="1"/>
    <col min="2568" max="2568" width="13.375" style="1030" bestFit="1" customWidth="1"/>
    <col min="2569" max="2810" width="8.875" style="1030"/>
    <col min="2811" max="2811" width="5" style="1030" bestFit="1" customWidth="1"/>
    <col min="2812" max="2812" width="3" style="1030" bestFit="1" customWidth="1"/>
    <col min="2813" max="2813" width="42.375" style="1030" customWidth="1"/>
    <col min="2814" max="2814" width="7.625" style="1030" bestFit="1" customWidth="1"/>
    <col min="2815" max="2816" width="0" style="1030" hidden="1" customWidth="1"/>
    <col min="2817" max="2817" width="6" style="1030" bestFit="1" customWidth="1"/>
    <col min="2818" max="2818" width="11.375" style="1030" customWidth="1"/>
    <col min="2819" max="2819" width="12.75" style="1030" bestFit="1" customWidth="1"/>
    <col min="2820" max="2820" width="12.25" style="1030" bestFit="1" customWidth="1"/>
    <col min="2821" max="2821" width="16.125" style="1030" customWidth="1"/>
    <col min="2822" max="2822" width="13.375" style="1030" bestFit="1" customWidth="1"/>
    <col min="2823" max="2823" width="12.125" style="1030" customWidth="1"/>
    <col min="2824" max="2824" width="13.375" style="1030" bestFit="1" customWidth="1"/>
    <col min="2825" max="3066" width="8.875" style="1030"/>
    <col min="3067" max="3067" width="5" style="1030" bestFit="1" customWidth="1"/>
    <col min="3068" max="3068" width="3" style="1030" bestFit="1" customWidth="1"/>
    <col min="3069" max="3069" width="42.375" style="1030" customWidth="1"/>
    <col min="3070" max="3070" width="7.625" style="1030" bestFit="1" customWidth="1"/>
    <col min="3071" max="3072" width="0" style="1030" hidden="1" customWidth="1"/>
    <col min="3073" max="3073" width="6" style="1030" bestFit="1" customWidth="1"/>
    <col min="3074" max="3074" width="11.375" style="1030" customWidth="1"/>
    <col min="3075" max="3075" width="12.75" style="1030" bestFit="1" customWidth="1"/>
    <col min="3076" max="3076" width="12.25" style="1030" bestFit="1" customWidth="1"/>
    <col min="3077" max="3077" width="16.125" style="1030" customWidth="1"/>
    <col min="3078" max="3078" width="13.375" style="1030" bestFit="1" customWidth="1"/>
    <col min="3079" max="3079" width="12.125" style="1030" customWidth="1"/>
    <col min="3080" max="3080" width="13.375" style="1030" bestFit="1" customWidth="1"/>
    <col min="3081" max="3322" width="8.875" style="1030"/>
    <col min="3323" max="3323" width="5" style="1030" bestFit="1" customWidth="1"/>
    <col min="3324" max="3324" width="3" style="1030" bestFit="1" customWidth="1"/>
    <col min="3325" max="3325" width="42.375" style="1030" customWidth="1"/>
    <col min="3326" max="3326" width="7.625" style="1030" bestFit="1" customWidth="1"/>
    <col min="3327" max="3328" width="0" style="1030" hidden="1" customWidth="1"/>
    <col min="3329" max="3329" width="6" style="1030" bestFit="1" customWidth="1"/>
    <col min="3330" max="3330" width="11.375" style="1030" customWidth="1"/>
    <col min="3331" max="3331" width="12.75" style="1030" bestFit="1" customWidth="1"/>
    <col min="3332" max="3332" width="12.25" style="1030" bestFit="1" customWidth="1"/>
    <col min="3333" max="3333" width="16.125" style="1030" customWidth="1"/>
    <col min="3334" max="3334" width="13.375" style="1030" bestFit="1" customWidth="1"/>
    <col min="3335" max="3335" width="12.125" style="1030" customWidth="1"/>
    <col min="3336" max="3336" width="13.375" style="1030" bestFit="1" customWidth="1"/>
    <col min="3337" max="3578" width="8.875" style="1030"/>
    <col min="3579" max="3579" width="5" style="1030" bestFit="1" customWidth="1"/>
    <col min="3580" max="3580" width="3" style="1030" bestFit="1" customWidth="1"/>
    <col min="3581" max="3581" width="42.375" style="1030" customWidth="1"/>
    <col min="3582" max="3582" width="7.625" style="1030" bestFit="1" customWidth="1"/>
    <col min="3583" max="3584" width="0" style="1030" hidden="1" customWidth="1"/>
    <col min="3585" max="3585" width="6" style="1030" bestFit="1" customWidth="1"/>
    <col min="3586" max="3586" width="11.375" style="1030" customWidth="1"/>
    <col min="3587" max="3587" width="12.75" style="1030" bestFit="1" customWidth="1"/>
    <col min="3588" max="3588" width="12.25" style="1030" bestFit="1" customWidth="1"/>
    <col min="3589" max="3589" width="16.125" style="1030" customWidth="1"/>
    <col min="3590" max="3590" width="13.375" style="1030" bestFit="1" customWidth="1"/>
    <col min="3591" max="3591" width="12.125" style="1030" customWidth="1"/>
    <col min="3592" max="3592" width="13.375" style="1030" bestFit="1" customWidth="1"/>
    <col min="3593" max="3834" width="8.875" style="1030"/>
    <col min="3835" max="3835" width="5" style="1030" bestFit="1" customWidth="1"/>
    <col min="3836" max="3836" width="3" style="1030" bestFit="1" customWidth="1"/>
    <col min="3837" max="3837" width="42.375" style="1030" customWidth="1"/>
    <col min="3838" max="3838" width="7.625" style="1030" bestFit="1" customWidth="1"/>
    <col min="3839" max="3840" width="0" style="1030" hidden="1" customWidth="1"/>
    <col min="3841" max="3841" width="6" style="1030" bestFit="1" customWidth="1"/>
    <col min="3842" max="3842" width="11.375" style="1030" customWidth="1"/>
    <col min="3843" max="3843" width="12.75" style="1030" bestFit="1" customWidth="1"/>
    <col min="3844" max="3844" width="12.25" style="1030" bestFit="1" customWidth="1"/>
    <col min="3845" max="3845" width="16.125" style="1030" customWidth="1"/>
    <col min="3846" max="3846" width="13.375" style="1030" bestFit="1" customWidth="1"/>
    <col min="3847" max="3847" width="12.125" style="1030" customWidth="1"/>
    <col min="3848" max="3848" width="13.375" style="1030" bestFit="1" customWidth="1"/>
    <col min="3849" max="4090" width="8.875" style="1030"/>
    <col min="4091" max="4091" width="5" style="1030" bestFit="1" customWidth="1"/>
    <col min="4092" max="4092" width="3" style="1030" bestFit="1" customWidth="1"/>
    <col min="4093" max="4093" width="42.375" style="1030" customWidth="1"/>
    <col min="4094" max="4094" width="7.625" style="1030" bestFit="1" customWidth="1"/>
    <col min="4095" max="4096" width="0" style="1030" hidden="1" customWidth="1"/>
    <col min="4097" max="4097" width="6" style="1030" bestFit="1" customWidth="1"/>
    <col min="4098" max="4098" width="11.375" style="1030" customWidth="1"/>
    <col min="4099" max="4099" width="12.75" style="1030" bestFit="1" customWidth="1"/>
    <col min="4100" max="4100" width="12.25" style="1030" bestFit="1" customWidth="1"/>
    <col min="4101" max="4101" width="16.125" style="1030" customWidth="1"/>
    <col min="4102" max="4102" width="13.375" style="1030" bestFit="1" customWidth="1"/>
    <col min="4103" max="4103" width="12.125" style="1030" customWidth="1"/>
    <col min="4104" max="4104" width="13.375" style="1030" bestFit="1" customWidth="1"/>
    <col min="4105" max="4346" width="8.875" style="1030"/>
    <col min="4347" max="4347" width="5" style="1030" bestFit="1" customWidth="1"/>
    <col min="4348" max="4348" width="3" style="1030" bestFit="1" customWidth="1"/>
    <col min="4349" max="4349" width="42.375" style="1030" customWidth="1"/>
    <col min="4350" max="4350" width="7.625" style="1030" bestFit="1" customWidth="1"/>
    <col min="4351" max="4352" width="0" style="1030" hidden="1" customWidth="1"/>
    <col min="4353" max="4353" width="6" style="1030" bestFit="1" customWidth="1"/>
    <col min="4354" max="4354" width="11.375" style="1030" customWidth="1"/>
    <col min="4355" max="4355" width="12.75" style="1030" bestFit="1" customWidth="1"/>
    <col min="4356" max="4356" width="12.25" style="1030" bestFit="1" customWidth="1"/>
    <col min="4357" max="4357" width="16.125" style="1030" customWidth="1"/>
    <col min="4358" max="4358" width="13.375" style="1030" bestFit="1" customWidth="1"/>
    <col min="4359" max="4359" width="12.125" style="1030" customWidth="1"/>
    <col min="4360" max="4360" width="13.375" style="1030" bestFit="1" customWidth="1"/>
    <col min="4361" max="4602" width="8.875" style="1030"/>
    <col min="4603" max="4603" width="5" style="1030" bestFit="1" customWidth="1"/>
    <col min="4604" max="4604" width="3" style="1030" bestFit="1" customWidth="1"/>
    <col min="4605" max="4605" width="42.375" style="1030" customWidth="1"/>
    <col min="4606" max="4606" width="7.625" style="1030" bestFit="1" customWidth="1"/>
    <col min="4607" max="4608" width="0" style="1030" hidden="1" customWidth="1"/>
    <col min="4609" max="4609" width="6" style="1030" bestFit="1" customWidth="1"/>
    <col min="4610" max="4610" width="11.375" style="1030" customWidth="1"/>
    <col min="4611" max="4611" width="12.75" style="1030" bestFit="1" customWidth="1"/>
    <col min="4612" max="4612" width="12.25" style="1030" bestFit="1" customWidth="1"/>
    <col min="4613" max="4613" width="16.125" style="1030" customWidth="1"/>
    <col min="4614" max="4614" width="13.375" style="1030" bestFit="1" customWidth="1"/>
    <col min="4615" max="4615" width="12.125" style="1030" customWidth="1"/>
    <col min="4616" max="4616" width="13.375" style="1030" bestFit="1" customWidth="1"/>
    <col min="4617" max="4858" width="8.875" style="1030"/>
    <col min="4859" max="4859" width="5" style="1030" bestFit="1" customWidth="1"/>
    <col min="4860" max="4860" width="3" style="1030" bestFit="1" customWidth="1"/>
    <col min="4861" max="4861" width="42.375" style="1030" customWidth="1"/>
    <col min="4862" max="4862" width="7.625" style="1030" bestFit="1" customWidth="1"/>
    <col min="4863" max="4864" width="0" style="1030" hidden="1" customWidth="1"/>
    <col min="4865" max="4865" width="6" style="1030" bestFit="1" customWidth="1"/>
    <col min="4866" max="4866" width="11.375" style="1030" customWidth="1"/>
    <col min="4867" max="4867" width="12.75" style="1030" bestFit="1" customWidth="1"/>
    <col min="4868" max="4868" width="12.25" style="1030" bestFit="1" customWidth="1"/>
    <col min="4869" max="4869" width="16.125" style="1030" customWidth="1"/>
    <col min="4870" max="4870" width="13.375" style="1030" bestFit="1" customWidth="1"/>
    <col min="4871" max="4871" width="12.125" style="1030" customWidth="1"/>
    <col min="4872" max="4872" width="13.375" style="1030" bestFit="1" customWidth="1"/>
    <col min="4873" max="5114" width="8.875" style="1030"/>
    <col min="5115" max="5115" width="5" style="1030" bestFit="1" customWidth="1"/>
    <col min="5116" max="5116" width="3" style="1030" bestFit="1" customWidth="1"/>
    <col min="5117" max="5117" width="42.375" style="1030" customWidth="1"/>
    <col min="5118" max="5118" width="7.625" style="1030" bestFit="1" customWidth="1"/>
    <col min="5119" max="5120" width="0" style="1030" hidden="1" customWidth="1"/>
    <col min="5121" max="5121" width="6" style="1030" bestFit="1" customWidth="1"/>
    <col min="5122" max="5122" width="11.375" style="1030" customWidth="1"/>
    <col min="5123" max="5123" width="12.75" style="1030" bestFit="1" customWidth="1"/>
    <col min="5124" max="5124" width="12.25" style="1030" bestFit="1" customWidth="1"/>
    <col min="5125" max="5125" width="16.125" style="1030" customWidth="1"/>
    <col min="5126" max="5126" width="13.375" style="1030" bestFit="1" customWidth="1"/>
    <col min="5127" max="5127" width="12.125" style="1030" customWidth="1"/>
    <col min="5128" max="5128" width="13.375" style="1030" bestFit="1" customWidth="1"/>
    <col min="5129" max="5370" width="8.875" style="1030"/>
    <col min="5371" max="5371" width="5" style="1030" bestFit="1" customWidth="1"/>
    <col min="5372" max="5372" width="3" style="1030" bestFit="1" customWidth="1"/>
    <col min="5373" max="5373" width="42.375" style="1030" customWidth="1"/>
    <col min="5374" max="5374" width="7.625" style="1030" bestFit="1" customWidth="1"/>
    <col min="5375" max="5376" width="0" style="1030" hidden="1" customWidth="1"/>
    <col min="5377" max="5377" width="6" style="1030" bestFit="1" customWidth="1"/>
    <col min="5378" max="5378" width="11.375" style="1030" customWidth="1"/>
    <col min="5379" max="5379" width="12.75" style="1030" bestFit="1" customWidth="1"/>
    <col min="5380" max="5380" width="12.25" style="1030" bestFit="1" customWidth="1"/>
    <col min="5381" max="5381" width="16.125" style="1030" customWidth="1"/>
    <col min="5382" max="5382" width="13.375" style="1030" bestFit="1" customWidth="1"/>
    <col min="5383" max="5383" width="12.125" style="1030" customWidth="1"/>
    <col min="5384" max="5384" width="13.375" style="1030" bestFit="1" customWidth="1"/>
    <col min="5385" max="5626" width="8.875" style="1030"/>
    <col min="5627" max="5627" width="5" style="1030" bestFit="1" customWidth="1"/>
    <col min="5628" max="5628" width="3" style="1030" bestFit="1" customWidth="1"/>
    <col min="5629" max="5629" width="42.375" style="1030" customWidth="1"/>
    <col min="5630" max="5630" width="7.625" style="1030" bestFit="1" customWidth="1"/>
    <col min="5631" max="5632" width="0" style="1030" hidden="1" customWidth="1"/>
    <col min="5633" max="5633" width="6" style="1030" bestFit="1" customWidth="1"/>
    <col min="5634" max="5634" width="11.375" style="1030" customWidth="1"/>
    <col min="5635" max="5635" width="12.75" style="1030" bestFit="1" customWidth="1"/>
    <col min="5636" max="5636" width="12.25" style="1030" bestFit="1" customWidth="1"/>
    <col min="5637" max="5637" width="16.125" style="1030" customWidth="1"/>
    <col min="5638" max="5638" width="13.375" style="1030" bestFit="1" customWidth="1"/>
    <col min="5639" max="5639" width="12.125" style="1030" customWidth="1"/>
    <col min="5640" max="5640" width="13.375" style="1030" bestFit="1" customWidth="1"/>
    <col min="5641" max="5882" width="8.875" style="1030"/>
    <col min="5883" max="5883" width="5" style="1030" bestFit="1" customWidth="1"/>
    <col min="5884" max="5884" width="3" style="1030" bestFit="1" customWidth="1"/>
    <col min="5885" max="5885" width="42.375" style="1030" customWidth="1"/>
    <col min="5886" max="5886" width="7.625" style="1030" bestFit="1" customWidth="1"/>
    <col min="5887" max="5888" width="0" style="1030" hidden="1" customWidth="1"/>
    <col min="5889" max="5889" width="6" style="1030" bestFit="1" customWidth="1"/>
    <col min="5890" max="5890" width="11.375" style="1030" customWidth="1"/>
    <col min="5891" max="5891" width="12.75" style="1030" bestFit="1" customWidth="1"/>
    <col min="5892" max="5892" width="12.25" style="1030" bestFit="1" customWidth="1"/>
    <col min="5893" max="5893" width="16.125" style="1030" customWidth="1"/>
    <col min="5894" max="5894" width="13.375" style="1030" bestFit="1" customWidth="1"/>
    <col min="5895" max="5895" width="12.125" style="1030" customWidth="1"/>
    <col min="5896" max="5896" width="13.375" style="1030" bestFit="1" customWidth="1"/>
    <col min="5897" max="6138" width="8.875" style="1030"/>
    <col min="6139" max="6139" width="5" style="1030" bestFit="1" customWidth="1"/>
    <col min="6140" max="6140" width="3" style="1030" bestFit="1" customWidth="1"/>
    <col min="6141" max="6141" width="42.375" style="1030" customWidth="1"/>
    <col min="6142" max="6142" width="7.625" style="1030" bestFit="1" customWidth="1"/>
    <col min="6143" max="6144" width="0" style="1030" hidden="1" customWidth="1"/>
    <col min="6145" max="6145" width="6" style="1030" bestFit="1" customWidth="1"/>
    <col min="6146" max="6146" width="11.375" style="1030" customWidth="1"/>
    <col min="6147" max="6147" width="12.75" style="1030" bestFit="1" customWidth="1"/>
    <col min="6148" max="6148" width="12.25" style="1030" bestFit="1" customWidth="1"/>
    <col min="6149" max="6149" width="16.125" style="1030" customWidth="1"/>
    <col min="6150" max="6150" width="13.375" style="1030" bestFit="1" customWidth="1"/>
    <col min="6151" max="6151" width="12.125" style="1030" customWidth="1"/>
    <col min="6152" max="6152" width="13.375" style="1030" bestFit="1" customWidth="1"/>
    <col min="6153" max="6394" width="8.875" style="1030"/>
    <col min="6395" max="6395" width="5" style="1030" bestFit="1" customWidth="1"/>
    <col min="6396" max="6396" width="3" style="1030" bestFit="1" customWidth="1"/>
    <col min="6397" max="6397" width="42.375" style="1030" customWidth="1"/>
    <col min="6398" max="6398" width="7.625" style="1030" bestFit="1" customWidth="1"/>
    <col min="6399" max="6400" width="0" style="1030" hidden="1" customWidth="1"/>
    <col min="6401" max="6401" width="6" style="1030" bestFit="1" customWidth="1"/>
    <col min="6402" max="6402" width="11.375" style="1030" customWidth="1"/>
    <col min="6403" max="6403" width="12.75" style="1030" bestFit="1" customWidth="1"/>
    <col min="6404" max="6404" width="12.25" style="1030" bestFit="1" customWidth="1"/>
    <col min="6405" max="6405" width="16.125" style="1030" customWidth="1"/>
    <col min="6406" max="6406" width="13.375" style="1030" bestFit="1" customWidth="1"/>
    <col min="6407" max="6407" width="12.125" style="1030" customWidth="1"/>
    <col min="6408" max="6408" width="13.375" style="1030" bestFit="1" customWidth="1"/>
    <col min="6409" max="6650" width="8.875" style="1030"/>
    <col min="6651" max="6651" width="5" style="1030" bestFit="1" customWidth="1"/>
    <col min="6652" max="6652" width="3" style="1030" bestFit="1" customWidth="1"/>
    <col min="6653" max="6653" width="42.375" style="1030" customWidth="1"/>
    <col min="6654" max="6654" width="7.625" style="1030" bestFit="1" customWidth="1"/>
    <col min="6655" max="6656" width="0" style="1030" hidden="1" customWidth="1"/>
    <col min="6657" max="6657" width="6" style="1030" bestFit="1" customWidth="1"/>
    <col min="6658" max="6658" width="11.375" style="1030" customWidth="1"/>
    <col min="6659" max="6659" width="12.75" style="1030" bestFit="1" customWidth="1"/>
    <col min="6660" max="6660" width="12.25" style="1030" bestFit="1" customWidth="1"/>
    <col min="6661" max="6661" width="16.125" style="1030" customWidth="1"/>
    <col min="6662" max="6662" width="13.375" style="1030" bestFit="1" customWidth="1"/>
    <col min="6663" max="6663" width="12.125" style="1030" customWidth="1"/>
    <col min="6664" max="6664" width="13.375" style="1030" bestFit="1" customWidth="1"/>
    <col min="6665" max="6906" width="8.875" style="1030"/>
    <col min="6907" max="6907" width="5" style="1030" bestFit="1" customWidth="1"/>
    <col min="6908" max="6908" width="3" style="1030" bestFit="1" customWidth="1"/>
    <col min="6909" max="6909" width="42.375" style="1030" customWidth="1"/>
    <col min="6910" max="6910" width="7.625" style="1030" bestFit="1" customWidth="1"/>
    <col min="6911" max="6912" width="0" style="1030" hidden="1" customWidth="1"/>
    <col min="6913" max="6913" width="6" style="1030" bestFit="1" customWidth="1"/>
    <col min="6914" max="6914" width="11.375" style="1030" customWidth="1"/>
    <col min="6915" max="6915" width="12.75" style="1030" bestFit="1" customWidth="1"/>
    <col min="6916" max="6916" width="12.25" style="1030" bestFit="1" customWidth="1"/>
    <col min="6917" max="6917" width="16.125" style="1030" customWidth="1"/>
    <col min="6918" max="6918" width="13.375" style="1030" bestFit="1" customWidth="1"/>
    <col min="6919" max="6919" width="12.125" style="1030" customWidth="1"/>
    <col min="6920" max="6920" width="13.375" style="1030" bestFit="1" customWidth="1"/>
    <col min="6921" max="7162" width="8.875" style="1030"/>
    <col min="7163" max="7163" width="5" style="1030" bestFit="1" customWidth="1"/>
    <col min="7164" max="7164" width="3" style="1030" bestFit="1" customWidth="1"/>
    <col min="7165" max="7165" width="42.375" style="1030" customWidth="1"/>
    <col min="7166" max="7166" width="7.625" style="1030" bestFit="1" customWidth="1"/>
    <col min="7167" max="7168" width="0" style="1030" hidden="1" customWidth="1"/>
    <col min="7169" max="7169" width="6" style="1030" bestFit="1" customWidth="1"/>
    <col min="7170" max="7170" width="11.375" style="1030" customWidth="1"/>
    <col min="7171" max="7171" width="12.75" style="1030" bestFit="1" customWidth="1"/>
    <col min="7172" max="7172" width="12.25" style="1030" bestFit="1" customWidth="1"/>
    <col min="7173" max="7173" width="16.125" style="1030" customWidth="1"/>
    <col min="7174" max="7174" width="13.375" style="1030" bestFit="1" customWidth="1"/>
    <col min="7175" max="7175" width="12.125" style="1030" customWidth="1"/>
    <col min="7176" max="7176" width="13.375" style="1030" bestFit="1" customWidth="1"/>
    <col min="7177" max="7418" width="8.875" style="1030"/>
    <col min="7419" max="7419" width="5" style="1030" bestFit="1" customWidth="1"/>
    <col min="7420" max="7420" width="3" style="1030" bestFit="1" customWidth="1"/>
    <col min="7421" max="7421" width="42.375" style="1030" customWidth="1"/>
    <col min="7422" max="7422" width="7.625" style="1030" bestFit="1" customWidth="1"/>
    <col min="7423" max="7424" width="0" style="1030" hidden="1" customWidth="1"/>
    <col min="7425" max="7425" width="6" style="1030" bestFit="1" customWidth="1"/>
    <col min="7426" max="7426" width="11.375" style="1030" customWidth="1"/>
    <col min="7427" max="7427" width="12.75" style="1030" bestFit="1" customWidth="1"/>
    <col min="7428" max="7428" width="12.25" style="1030" bestFit="1" customWidth="1"/>
    <col min="7429" max="7429" width="16.125" style="1030" customWidth="1"/>
    <col min="7430" max="7430" width="13.375" style="1030" bestFit="1" customWidth="1"/>
    <col min="7431" max="7431" width="12.125" style="1030" customWidth="1"/>
    <col min="7432" max="7432" width="13.375" style="1030" bestFit="1" customWidth="1"/>
    <col min="7433" max="7674" width="8.875" style="1030"/>
    <col min="7675" max="7675" width="5" style="1030" bestFit="1" customWidth="1"/>
    <col min="7676" max="7676" width="3" style="1030" bestFit="1" customWidth="1"/>
    <col min="7677" max="7677" width="42.375" style="1030" customWidth="1"/>
    <col min="7678" max="7678" width="7.625" style="1030" bestFit="1" customWidth="1"/>
    <col min="7679" max="7680" width="0" style="1030" hidden="1" customWidth="1"/>
    <col min="7681" max="7681" width="6" style="1030" bestFit="1" customWidth="1"/>
    <col min="7682" max="7682" width="11.375" style="1030" customWidth="1"/>
    <col min="7683" max="7683" width="12.75" style="1030" bestFit="1" customWidth="1"/>
    <col min="7684" max="7684" width="12.25" style="1030" bestFit="1" customWidth="1"/>
    <col min="7685" max="7685" width="16.125" style="1030" customWidth="1"/>
    <col min="7686" max="7686" width="13.375" style="1030" bestFit="1" customWidth="1"/>
    <col min="7687" max="7687" width="12.125" style="1030" customWidth="1"/>
    <col min="7688" max="7688" width="13.375" style="1030" bestFit="1" customWidth="1"/>
    <col min="7689" max="7930" width="8.875" style="1030"/>
    <col min="7931" max="7931" width="5" style="1030" bestFit="1" customWidth="1"/>
    <col min="7932" max="7932" width="3" style="1030" bestFit="1" customWidth="1"/>
    <col min="7933" max="7933" width="42.375" style="1030" customWidth="1"/>
    <col min="7934" max="7934" width="7.625" style="1030" bestFit="1" customWidth="1"/>
    <col min="7935" max="7936" width="0" style="1030" hidden="1" customWidth="1"/>
    <col min="7937" max="7937" width="6" style="1030" bestFit="1" customWidth="1"/>
    <col min="7938" max="7938" width="11.375" style="1030" customWidth="1"/>
    <col min="7939" max="7939" width="12.75" style="1030" bestFit="1" customWidth="1"/>
    <col min="7940" max="7940" width="12.25" style="1030" bestFit="1" customWidth="1"/>
    <col min="7941" max="7941" width="16.125" style="1030" customWidth="1"/>
    <col min="7942" max="7942" width="13.375" style="1030" bestFit="1" customWidth="1"/>
    <col min="7943" max="7943" width="12.125" style="1030" customWidth="1"/>
    <col min="7944" max="7944" width="13.375" style="1030" bestFit="1" customWidth="1"/>
    <col min="7945" max="8186" width="8.875" style="1030"/>
    <col min="8187" max="8187" width="5" style="1030" bestFit="1" customWidth="1"/>
    <col min="8188" max="8188" width="3" style="1030" bestFit="1" customWidth="1"/>
    <col min="8189" max="8189" width="42.375" style="1030" customWidth="1"/>
    <col min="8190" max="8190" width="7.625" style="1030" bestFit="1" customWidth="1"/>
    <col min="8191" max="8192" width="0" style="1030" hidden="1" customWidth="1"/>
    <col min="8193" max="8193" width="6" style="1030" bestFit="1" customWidth="1"/>
    <col min="8194" max="8194" width="11.375" style="1030" customWidth="1"/>
    <col min="8195" max="8195" width="12.75" style="1030" bestFit="1" customWidth="1"/>
    <col min="8196" max="8196" width="12.25" style="1030" bestFit="1" customWidth="1"/>
    <col min="8197" max="8197" width="16.125" style="1030" customWidth="1"/>
    <col min="8198" max="8198" width="13.375" style="1030" bestFit="1" customWidth="1"/>
    <col min="8199" max="8199" width="12.125" style="1030" customWidth="1"/>
    <col min="8200" max="8200" width="13.375" style="1030" bestFit="1" customWidth="1"/>
    <col min="8201" max="8442" width="8.875" style="1030"/>
    <col min="8443" max="8443" width="5" style="1030" bestFit="1" customWidth="1"/>
    <col min="8444" max="8444" width="3" style="1030" bestFit="1" customWidth="1"/>
    <col min="8445" max="8445" width="42.375" style="1030" customWidth="1"/>
    <col min="8446" max="8446" width="7.625" style="1030" bestFit="1" customWidth="1"/>
    <col min="8447" max="8448" width="0" style="1030" hidden="1" customWidth="1"/>
    <col min="8449" max="8449" width="6" style="1030" bestFit="1" customWidth="1"/>
    <col min="8450" max="8450" width="11.375" style="1030" customWidth="1"/>
    <col min="8451" max="8451" width="12.75" style="1030" bestFit="1" customWidth="1"/>
    <col min="8452" max="8452" width="12.25" style="1030" bestFit="1" customWidth="1"/>
    <col min="8453" max="8453" width="16.125" style="1030" customWidth="1"/>
    <col min="8454" max="8454" width="13.375" style="1030" bestFit="1" customWidth="1"/>
    <col min="8455" max="8455" width="12.125" style="1030" customWidth="1"/>
    <col min="8456" max="8456" width="13.375" style="1030" bestFit="1" customWidth="1"/>
    <col min="8457" max="8698" width="8.875" style="1030"/>
    <col min="8699" max="8699" width="5" style="1030" bestFit="1" customWidth="1"/>
    <col min="8700" max="8700" width="3" style="1030" bestFit="1" customWidth="1"/>
    <col min="8701" max="8701" width="42.375" style="1030" customWidth="1"/>
    <col min="8702" max="8702" width="7.625" style="1030" bestFit="1" customWidth="1"/>
    <col min="8703" max="8704" width="0" style="1030" hidden="1" customWidth="1"/>
    <col min="8705" max="8705" width="6" style="1030" bestFit="1" customWidth="1"/>
    <col min="8706" max="8706" width="11.375" style="1030" customWidth="1"/>
    <col min="8707" max="8707" width="12.75" style="1030" bestFit="1" customWidth="1"/>
    <col min="8708" max="8708" width="12.25" style="1030" bestFit="1" customWidth="1"/>
    <col min="8709" max="8709" width="16.125" style="1030" customWidth="1"/>
    <col min="8710" max="8710" width="13.375" style="1030" bestFit="1" customWidth="1"/>
    <col min="8711" max="8711" width="12.125" style="1030" customWidth="1"/>
    <col min="8712" max="8712" width="13.375" style="1030" bestFit="1" customWidth="1"/>
    <col min="8713" max="8954" width="8.875" style="1030"/>
    <col min="8955" max="8955" width="5" style="1030" bestFit="1" customWidth="1"/>
    <col min="8956" max="8956" width="3" style="1030" bestFit="1" customWidth="1"/>
    <col min="8957" max="8957" width="42.375" style="1030" customWidth="1"/>
    <col min="8958" max="8958" width="7.625" style="1030" bestFit="1" customWidth="1"/>
    <col min="8959" max="8960" width="0" style="1030" hidden="1" customWidth="1"/>
    <col min="8961" max="8961" width="6" style="1030" bestFit="1" customWidth="1"/>
    <col min="8962" max="8962" width="11.375" style="1030" customWidth="1"/>
    <col min="8963" max="8963" width="12.75" style="1030" bestFit="1" customWidth="1"/>
    <col min="8964" max="8964" width="12.25" style="1030" bestFit="1" customWidth="1"/>
    <col min="8965" max="8965" width="16.125" style="1030" customWidth="1"/>
    <col min="8966" max="8966" width="13.375" style="1030" bestFit="1" customWidth="1"/>
    <col min="8967" max="8967" width="12.125" style="1030" customWidth="1"/>
    <col min="8968" max="8968" width="13.375" style="1030" bestFit="1" customWidth="1"/>
    <col min="8969" max="9210" width="8.875" style="1030"/>
    <col min="9211" max="9211" width="5" style="1030" bestFit="1" customWidth="1"/>
    <col min="9212" max="9212" width="3" style="1030" bestFit="1" customWidth="1"/>
    <col min="9213" max="9213" width="42.375" style="1030" customWidth="1"/>
    <col min="9214" max="9214" width="7.625" style="1030" bestFit="1" customWidth="1"/>
    <col min="9215" max="9216" width="0" style="1030" hidden="1" customWidth="1"/>
    <col min="9217" max="9217" width="6" style="1030" bestFit="1" customWidth="1"/>
    <col min="9218" max="9218" width="11.375" style="1030" customWidth="1"/>
    <col min="9219" max="9219" width="12.75" style="1030" bestFit="1" customWidth="1"/>
    <col min="9220" max="9220" width="12.25" style="1030" bestFit="1" customWidth="1"/>
    <col min="9221" max="9221" width="16.125" style="1030" customWidth="1"/>
    <col min="9222" max="9222" width="13.375" style="1030" bestFit="1" customWidth="1"/>
    <col min="9223" max="9223" width="12.125" style="1030" customWidth="1"/>
    <col min="9224" max="9224" width="13.375" style="1030" bestFit="1" customWidth="1"/>
    <col min="9225" max="9466" width="8.875" style="1030"/>
    <col min="9467" max="9467" width="5" style="1030" bestFit="1" customWidth="1"/>
    <col min="9468" max="9468" width="3" style="1030" bestFit="1" customWidth="1"/>
    <col min="9469" max="9469" width="42.375" style="1030" customWidth="1"/>
    <col min="9470" max="9470" width="7.625" style="1030" bestFit="1" customWidth="1"/>
    <col min="9471" max="9472" width="0" style="1030" hidden="1" customWidth="1"/>
    <col min="9473" max="9473" width="6" style="1030" bestFit="1" customWidth="1"/>
    <col min="9474" max="9474" width="11.375" style="1030" customWidth="1"/>
    <col min="9475" max="9475" width="12.75" style="1030" bestFit="1" customWidth="1"/>
    <col min="9476" max="9476" width="12.25" style="1030" bestFit="1" customWidth="1"/>
    <col min="9477" max="9477" width="16.125" style="1030" customWidth="1"/>
    <col min="9478" max="9478" width="13.375" style="1030" bestFit="1" customWidth="1"/>
    <col min="9479" max="9479" width="12.125" style="1030" customWidth="1"/>
    <col min="9480" max="9480" width="13.375" style="1030" bestFit="1" customWidth="1"/>
    <col min="9481" max="9722" width="8.875" style="1030"/>
    <col min="9723" max="9723" width="5" style="1030" bestFit="1" customWidth="1"/>
    <col min="9724" max="9724" width="3" style="1030" bestFit="1" customWidth="1"/>
    <col min="9725" max="9725" width="42.375" style="1030" customWidth="1"/>
    <col min="9726" max="9726" width="7.625" style="1030" bestFit="1" customWidth="1"/>
    <col min="9727" max="9728" width="0" style="1030" hidden="1" customWidth="1"/>
    <col min="9729" max="9729" width="6" style="1030" bestFit="1" customWidth="1"/>
    <col min="9730" max="9730" width="11.375" style="1030" customWidth="1"/>
    <col min="9731" max="9731" width="12.75" style="1030" bestFit="1" customWidth="1"/>
    <col min="9732" max="9732" width="12.25" style="1030" bestFit="1" customWidth="1"/>
    <col min="9733" max="9733" width="16.125" style="1030" customWidth="1"/>
    <col min="9734" max="9734" width="13.375" style="1030" bestFit="1" customWidth="1"/>
    <col min="9735" max="9735" width="12.125" style="1030" customWidth="1"/>
    <col min="9736" max="9736" width="13.375" style="1030" bestFit="1" customWidth="1"/>
    <col min="9737" max="9978" width="8.875" style="1030"/>
    <col min="9979" max="9979" width="5" style="1030" bestFit="1" customWidth="1"/>
    <col min="9980" max="9980" width="3" style="1030" bestFit="1" customWidth="1"/>
    <col min="9981" max="9981" width="42.375" style="1030" customWidth="1"/>
    <col min="9982" max="9982" width="7.625" style="1030" bestFit="1" customWidth="1"/>
    <col min="9983" max="9984" width="0" style="1030" hidden="1" customWidth="1"/>
    <col min="9985" max="9985" width="6" style="1030" bestFit="1" customWidth="1"/>
    <col min="9986" max="9986" width="11.375" style="1030" customWidth="1"/>
    <col min="9987" max="9987" width="12.75" style="1030" bestFit="1" customWidth="1"/>
    <col min="9988" max="9988" width="12.25" style="1030" bestFit="1" customWidth="1"/>
    <col min="9989" max="9989" width="16.125" style="1030" customWidth="1"/>
    <col min="9990" max="9990" width="13.375" style="1030" bestFit="1" customWidth="1"/>
    <col min="9991" max="9991" width="12.125" style="1030" customWidth="1"/>
    <col min="9992" max="9992" width="13.375" style="1030" bestFit="1" customWidth="1"/>
    <col min="9993" max="10234" width="8.875" style="1030"/>
    <col min="10235" max="10235" width="5" style="1030" bestFit="1" customWidth="1"/>
    <col min="10236" max="10236" width="3" style="1030" bestFit="1" customWidth="1"/>
    <col min="10237" max="10237" width="42.375" style="1030" customWidth="1"/>
    <col min="10238" max="10238" width="7.625" style="1030" bestFit="1" customWidth="1"/>
    <col min="10239" max="10240" width="0" style="1030" hidden="1" customWidth="1"/>
    <col min="10241" max="10241" width="6" style="1030" bestFit="1" customWidth="1"/>
    <col min="10242" max="10242" width="11.375" style="1030" customWidth="1"/>
    <col min="10243" max="10243" width="12.75" style="1030" bestFit="1" customWidth="1"/>
    <col min="10244" max="10244" width="12.25" style="1030" bestFit="1" customWidth="1"/>
    <col min="10245" max="10245" width="16.125" style="1030" customWidth="1"/>
    <col min="10246" max="10246" width="13.375" style="1030" bestFit="1" customWidth="1"/>
    <col min="10247" max="10247" width="12.125" style="1030" customWidth="1"/>
    <col min="10248" max="10248" width="13.375" style="1030" bestFit="1" customWidth="1"/>
    <col min="10249" max="10490" width="8.875" style="1030"/>
    <col min="10491" max="10491" width="5" style="1030" bestFit="1" customWidth="1"/>
    <col min="10492" max="10492" width="3" style="1030" bestFit="1" customWidth="1"/>
    <col min="10493" max="10493" width="42.375" style="1030" customWidth="1"/>
    <col min="10494" max="10494" width="7.625" style="1030" bestFit="1" customWidth="1"/>
    <col min="10495" max="10496" width="0" style="1030" hidden="1" customWidth="1"/>
    <col min="10497" max="10497" width="6" style="1030" bestFit="1" customWidth="1"/>
    <col min="10498" max="10498" width="11.375" style="1030" customWidth="1"/>
    <col min="10499" max="10499" width="12.75" style="1030" bestFit="1" customWidth="1"/>
    <col min="10500" max="10500" width="12.25" style="1030" bestFit="1" customWidth="1"/>
    <col min="10501" max="10501" width="16.125" style="1030" customWidth="1"/>
    <col min="10502" max="10502" width="13.375" style="1030" bestFit="1" customWidth="1"/>
    <col min="10503" max="10503" width="12.125" style="1030" customWidth="1"/>
    <col min="10504" max="10504" width="13.375" style="1030" bestFit="1" customWidth="1"/>
    <col min="10505" max="10746" width="8.875" style="1030"/>
    <col min="10747" max="10747" width="5" style="1030" bestFit="1" customWidth="1"/>
    <col min="10748" max="10748" width="3" style="1030" bestFit="1" customWidth="1"/>
    <col min="10749" max="10749" width="42.375" style="1030" customWidth="1"/>
    <col min="10750" max="10750" width="7.625" style="1030" bestFit="1" customWidth="1"/>
    <col min="10751" max="10752" width="0" style="1030" hidden="1" customWidth="1"/>
    <col min="10753" max="10753" width="6" style="1030" bestFit="1" customWidth="1"/>
    <col min="10754" max="10754" width="11.375" style="1030" customWidth="1"/>
    <col min="10755" max="10755" width="12.75" style="1030" bestFit="1" customWidth="1"/>
    <col min="10756" max="10756" width="12.25" style="1030" bestFit="1" customWidth="1"/>
    <col min="10757" max="10757" width="16.125" style="1030" customWidth="1"/>
    <col min="10758" max="10758" width="13.375" style="1030" bestFit="1" customWidth="1"/>
    <col min="10759" max="10759" width="12.125" style="1030" customWidth="1"/>
    <col min="10760" max="10760" width="13.375" style="1030" bestFit="1" customWidth="1"/>
    <col min="10761" max="11002" width="8.875" style="1030"/>
    <col min="11003" max="11003" width="5" style="1030" bestFit="1" customWidth="1"/>
    <col min="11004" max="11004" width="3" style="1030" bestFit="1" customWidth="1"/>
    <col min="11005" max="11005" width="42.375" style="1030" customWidth="1"/>
    <col min="11006" max="11006" width="7.625" style="1030" bestFit="1" customWidth="1"/>
    <col min="11007" max="11008" width="0" style="1030" hidden="1" customWidth="1"/>
    <col min="11009" max="11009" width="6" style="1030" bestFit="1" customWidth="1"/>
    <col min="11010" max="11010" width="11.375" style="1030" customWidth="1"/>
    <col min="11011" max="11011" width="12.75" style="1030" bestFit="1" customWidth="1"/>
    <col min="11012" max="11012" width="12.25" style="1030" bestFit="1" customWidth="1"/>
    <col min="11013" max="11013" width="16.125" style="1030" customWidth="1"/>
    <col min="11014" max="11014" width="13.375" style="1030" bestFit="1" customWidth="1"/>
    <col min="11015" max="11015" width="12.125" style="1030" customWidth="1"/>
    <col min="11016" max="11016" width="13.375" style="1030" bestFit="1" customWidth="1"/>
    <col min="11017" max="11258" width="8.875" style="1030"/>
    <col min="11259" max="11259" width="5" style="1030" bestFit="1" customWidth="1"/>
    <col min="11260" max="11260" width="3" style="1030" bestFit="1" customWidth="1"/>
    <col min="11261" max="11261" width="42.375" style="1030" customWidth="1"/>
    <col min="11262" max="11262" width="7.625" style="1030" bestFit="1" customWidth="1"/>
    <col min="11263" max="11264" width="0" style="1030" hidden="1" customWidth="1"/>
    <col min="11265" max="11265" width="6" style="1030" bestFit="1" customWidth="1"/>
    <col min="11266" max="11266" width="11.375" style="1030" customWidth="1"/>
    <col min="11267" max="11267" width="12.75" style="1030" bestFit="1" customWidth="1"/>
    <col min="11268" max="11268" width="12.25" style="1030" bestFit="1" customWidth="1"/>
    <col min="11269" max="11269" width="16.125" style="1030" customWidth="1"/>
    <col min="11270" max="11270" width="13.375" style="1030" bestFit="1" customWidth="1"/>
    <col min="11271" max="11271" width="12.125" style="1030" customWidth="1"/>
    <col min="11272" max="11272" width="13.375" style="1030" bestFit="1" customWidth="1"/>
    <col min="11273" max="11514" width="8.875" style="1030"/>
    <col min="11515" max="11515" width="5" style="1030" bestFit="1" customWidth="1"/>
    <col min="11516" max="11516" width="3" style="1030" bestFit="1" customWidth="1"/>
    <col min="11517" max="11517" width="42.375" style="1030" customWidth="1"/>
    <col min="11518" max="11518" width="7.625" style="1030" bestFit="1" customWidth="1"/>
    <col min="11519" max="11520" width="0" style="1030" hidden="1" customWidth="1"/>
    <col min="11521" max="11521" width="6" style="1030" bestFit="1" customWidth="1"/>
    <col min="11522" max="11522" width="11.375" style="1030" customWidth="1"/>
    <col min="11523" max="11523" width="12.75" style="1030" bestFit="1" customWidth="1"/>
    <col min="11524" max="11524" width="12.25" style="1030" bestFit="1" customWidth="1"/>
    <col min="11525" max="11525" width="16.125" style="1030" customWidth="1"/>
    <col min="11526" max="11526" width="13.375" style="1030" bestFit="1" customWidth="1"/>
    <col min="11527" max="11527" width="12.125" style="1030" customWidth="1"/>
    <col min="11528" max="11528" width="13.375" style="1030" bestFit="1" customWidth="1"/>
    <col min="11529" max="11770" width="8.875" style="1030"/>
    <col min="11771" max="11771" width="5" style="1030" bestFit="1" customWidth="1"/>
    <col min="11772" max="11772" width="3" style="1030" bestFit="1" customWidth="1"/>
    <col min="11773" max="11773" width="42.375" style="1030" customWidth="1"/>
    <col min="11774" max="11774" width="7.625" style="1030" bestFit="1" customWidth="1"/>
    <col min="11775" max="11776" width="0" style="1030" hidden="1" customWidth="1"/>
    <col min="11777" max="11777" width="6" style="1030" bestFit="1" customWidth="1"/>
    <col min="11778" max="11778" width="11.375" style="1030" customWidth="1"/>
    <col min="11779" max="11779" width="12.75" style="1030" bestFit="1" customWidth="1"/>
    <col min="11780" max="11780" width="12.25" style="1030" bestFit="1" customWidth="1"/>
    <col min="11781" max="11781" width="16.125" style="1030" customWidth="1"/>
    <col min="11782" max="11782" width="13.375" style="1030" bestFit="1" customWidth="1"/>
    <col min="11783" max="11783" width="12.125" style="1030" customWidth="1"/>
    <col min="11784" max="11784" width="13.375" style="1030" bestFit="1" customWidth="1"/>
    <col min="11785" max="12026" width="8.875" style="1030"/>
    <col min="12027" max="12027" width="5" style="1030" bestFit="1" customWidth="1"/>
    <col min="12028" max="12028" width="3" style="1030" bestFit="1" customWidth="1"/>
    <col min="12029" max="12029" width="42.375" style="1030" customWidth="1"/>
    <col min="12030" max="12030" width="7.625" style="1030" bestFit="1" customWidth="1"/>
    <col min="12031" max="12032" width="0" style="1030" hidden="1" customWidth="1"/>
    <col min="12033" max="12033" width="6" style="1030" bestFit="1" customWidth="1"/>
    <col min="12034" max="12034" width="11.375" style="1030" customWidth="1"/>
    <col min="12035" max="12035" width="12.75" style="1030" bestFit="1" customWidth="1"/>
    <col min="12036" max="12036" width="12.25" style="1030" bestFit="1" customWidth="1"/>
    <col min="12037" max="12037" width="16.125" style="1030" customWidth="1"/>
    <col min="12038" max="12038" width="13.375" style="1030" bestFit="1" customWidth="1"/>
    <col min="12039" max="12039" width="12.125" style="1030" customWidth="1"/>
    <col min="12040" max="12040" width="13.375" style="1030" bestFit="1" customWidth="1"/>
    <col min="12041" max="12282" width="8.875" style="1030"/>
    <col min="12283" max="12283" width="5" style="1030" bestFit="1" customWidth="1"/>
    <col min="12284" max="12284" width="3" style="1030" bestFit="1" customWidth="1"/>
    <col min="12285" max="12285" width="42.375" style="1030" customWidth="1"/>
    <col min="12286" max="12286" width="7.625" style="1030" bestFit="1" customWidth="1"/>
    <col min="12287" max="12288" width="0" style="1030" hidden="1" customWidth="1"/>
    <col min="12289" max="12289" width="6" style="1030" bestFit="1" customWidth="1"/>
    <col min="12290" max="12290" width="11.375" style="1030" customWidth="1"/>
    <col min="12291" max="12291" width="12.75" style="1030" bestFit="1" customWidth="1"/>
    <col min="12292" max="12292" width="12.25" style="1030" bestFit="1" customWidth="1"/>
    <col min="12293" max="12293" width="16.125" style="1030" customWidth="1"/>
    <col min="12294" max="12294" width="13.375" style="1030" bestFit="1" customWidth="1"/>
    <col min="12295" max="12295" width="12.125" style="1030" customWidth="1"/>
    <col min="12296" max="12296" width="13.375" style="1030" bestFit="1" customWidth="1"/>
    <col min="12297" max="12538" width="8.875" style="1030"/>
    <col min="12539" max="12539" width="5" style="1030" bestFit="1" customWidth="1"/>
    <col min="12540" max="12540" width="3" style="1030" bestFit="1" customWidth="1"/>
    <col min="12541" max="12541" width="42.375" style="1030" customWidth="1"/>
    <col min="12542" max="12542" width="7.625" style="1030" bestFit="1" customWidth="1"/>
    <col min="12543" max="12544" width="0" style="1030" hidden="1" customWidth="1"/>
    <col min="12545" max="12545" width="6" style="1030" bestFit="1" customWidth="1"/>
    <col min="12546" max="12546" width="11.375" style="1030" customWidth="1"/>
    <col min="12547" max="12547" width="12.75" style="1030" bestFit="1" customWidth="1"/>
    <col min="12548" max="12548" width="12.25" style="1030" bestFit="1" customWidth="1"/>
    <col min="12549" max="12549" width="16.125" style="1030" customWidth="1"/>
    <col min="12550" max="12550" width="13.375" style="1030" bestFit="1" customWidth="1"/>
    <col min="12551" max="12551" width="12.125" style="1030" customWidth="1"/>
    <col min="12552" max="12552" width="13.375" style="1030" bestFit="1" customWidth="1"/>
    <col min="12553" max="12794" width="8.875" style="1030"/>
    <col min="12795" max="12795" width="5" style="1030" bestFit="1" customWidth="1"/>
    <col min="12796" max="12796" width="3" style="1030" bestFit="1" customWidth="1"/>
    <col min="12797" max="12797" width="42.375" style="1030" customWidth="1"/>
    <col min="12798" max="12798" width="7.625" style="1030" bestFit="1" customWidth="1"/>
    <col min="12799" max="12800" width="0" style="1030" hidden="1" customWidth="1"/>
    <col min="12801" max="12801" width="6" style="1030" bestFit="1" customWidth="1"/>
    <col min="12802" max="12802" width="11.375" style="1030" customWidth="1"/>
    <col min="12803" max="12803" width="12.75" style="1030" bestFit="1" customWidth="1"/>
    <col min="12804" max="12804" width="12.25" style="1030" bestFit="1" customWidth="1"/>
    <col min="12805" max="12805" width="16.125" style="1030" customWidth="1"/>
    <col min="12806" max="12806" width="13.375" style="1030" bestFit="1" customWidth="1"/>
    <col min="12807" max="12807" width="12.125" style="1030" customWidth="1"/>
    <col min="12808" max="12808" width="13.375" style="1030" bestFit="1" customWidth="1"/>
    <col min="12809" max="13050" width="8.875" style="1030"/>
    <col min="13051" max="13051" width="5" style="1030" bestFit="1" customWidth="1"/>
    <col min="13052" max="13052" width="3" style="1030" bestFit="1" customWidth="1"/>
    <col min="13053" max="13053" width="42.375" style="1030" customWidth="1"/>
    <col min="13054" max="13054" width="7.625" style="1030" bestFit="1" customWidth="1"/>
    <col min="13055" max="13056" width="0" style="1030" hidden="1" customWidth="1"/>
    <col min="13057" max="13057" width="6" style="1030" bestFit="1" customWidth="1"/>
    <col min="13058" max="13058" width="11.375" style="1030" customWidth="1"/>
    <col min="13059" max="13059" width="12.75" style="1030" bestFit="1" customWidth="1"/>
    <col min="13060" max="13060" width="12.25" style="1030" bestFit="1" customWidth="1"/>
    <col min="13061" max="13061" width="16.125" style="1030" customWidth="1"/>
    <col min="13062" max="13062" width="13.375" style="1030" bestFit="1" customWidth="1"/>
    <col min="13063" max="13063" width="12.125" style="1030" customWidth="1"/>
    <col min="13064" max="13064" width="13.375" style="1030" bestFit="1" customWidth="1"/>
    <col min="13065" max="13306" width="8.875" style="1030"/>
    <col min="13307" max="13307" width="5" style="1030" bestFit="1" customWidth="1"/>
    <col min="13308" max="13308" width="3" style="1030" bestFit="1" customWidth="1"/>
    <col min="13309" max="13309" width="42.375" style="1030" customWidth="1"/>
    <col min="13310" max="13310" width="7.625" style="1030" bestFit="1" customWidth="1"/>
    <col min="13311" max="13312" width="0" style="1030" hidden="1" customWidth="1"/>
    <col min="13313" max="13313" width="6" style="1030" bestFit="1" customWidth="1"/>
    <col min="13314" max="13314" width="11.375" style="1030" customWidth="1"/>
    <col min="13315" max="13315" width="12.75" style="1030" bestFit="1" customWidth="1"/>
    <col min="13316" max="13316" width="12.25" style="1030" bestFit="1" customWidth="1"/>
    <col min="13317" max="13317" width="16.125" style="1030" customWidth="1"/>
    <col min="13318" max="13318" width="13.375" style="1030" bestFit="1" customWidth="1"/>
    <col min="13319" max="13319" width="12.125" style="1030" customWidth="1"/>
    <col min="13320" max="13320" width="13.375" style="1030" bestFit="1" customWidth="1"/>
    <col min="13321" max="13562" width="8.875" style="1030"/>
    <col min="13563" max="13563" width="5" style="1030" bestFit="1" customWidth="1"/>
    <col min="13564" max="13564" width="3" style="1030" bestFit="1" customWidth="1"/>
    <col min="13565" max="13565" width="42.375" style="1030" customWidth="1"/>
    <col min="13566" max="13566" width="7.625" style="1030" bestFit="1" customWidth="1"/>
    <col min="13567" max="13568" width="0" style="1030" hidden="1" customWidth="1"/>
    <col min="13569" max="13569" width="6" style="1030" bestFit="1" customWidth="1"/>
    <col min="13570" max="13570" width="11.375" style="1030" customWidth="1"/>
    <col min="13571" max="13571" width="12.75" style="1030" bestFit="1" customWidth="1"/>
    <col min="13572" max="13572" width="12.25" style="1030" bestFit="1" customWidth="1"/>
    <col min="13573" max="13573" width="16.125" style="1030" customWidth="1"/>
    <col min="13574" max="13574" width="13.375" style="1030" bestFit="1" customWidth="1"/>
    <col min="13575" max="13575" width="12.125" style="1030" customWidth="1"/>
    <col min="13576" max="13576" width="13.375" style="1030" bestFit="1" customWidth="1"/>
    <col min="13577" max="13818" width="8.875" style="1030"/>
    <col min="13819" max="13819" width="5" style="1030" bestFit="1" customWidth="1"/>
    <col min="13820" max="13820" width="3" style="1030" bestFit="1" customWidth="1"/>
    <col min="13821" max="13821" width="42.375" style="1030" customWidth="1"/>
    <col min="13822" max="13822" width="7.625" style="1030" bestFit="1" customWidth="1"/>
    <col min="13823" max="13824" width="0" style="1030" hidden="1" customWidth="1"/>
    <col min="13825" max="13825" width="6" style="1030" bestFit="1" customWidth="1"/>
    <col min="13826" max="13826" width="11.375" style="1030" customWidth="1"/>
    <col min="13827" max="13827" width="12.75" style="1030" bestFit="1" customWidth="1"/>
    <col min="13828" max="13828" width="12.25" style="1030" bestFit="1" customWidth="1"/>
    <col min="13829" max="13829" width="16.125" style="1030" customWidth="1"/>
    <col min="13830" max="13830" width="13.375" style="1030" bestFit="1" customWidth="1"/>
    <col min="13831" max="13831" width="12.125" style="1030" customWidth="1"/>
    <col min="13832" max="13832" width="13.375" style="1030" bestFit="1" customWidth="1"/>
    <col min="13833" max="14074" width="8.875" style="1030"/>
    <col min="14075" max="14075" width="5" style="1030" bestFit="1" customWidth="1"/>
    <col min="14076" max="14076" width="3" style="1030" bestFit="1" customWidth="1"/>
    <col min="14077" max="14077" width="42.375" style="1030" customWidth="1"/>
    <col min="14078" max="14078" width="7.625" style="1030" bestFit="1" customWidth="1"/>
    <col min="14079" max="14080" width="0" style="1030" hidden="1" customWidth="1"/>
    <col min="14081" max="14081" width="6" style="1030" bestFit="1" customWidth="1"/>
    <col min="14082" max="14082" width="11.375" style="1030" customWidth="1"/>
    <col min="14083" max="14083" width="12.75" style="1030" bestFit="1" customWidth="1"/>
    <col min="14084" max="14084" width="12.25" style="1030" bestFit="1" customWidth="1"/>
    <col min="14085" max="14085" width="16.125" style="1030" customWidth="1"/>
    <col min="14086" max="14086" width="13.375" style="1030" bestFit="1" customWidth="1"/>
    <col min="14087" max="14087" width="12.125" style="1030" customWidth="1"/>
    <col min="14088" max="14088" width="13.375" style="1030" bestFit="1" customWidth="1"/>
    <col min="14089" max="14330" width="8.875" style="1030"/>
    <col min="14331" max="14331" width="5" style="1030" bestFit="1" customWidth="1"/>
    <col min="14332" max="14332" width="3" style="1030" bestFit="1" customWidth="1"/>
    <col min="14333" max="14333" width="42.375" style="1030" customWidth="1"/>
    <col min="14334" max="14334" width="7.625" style="1030" bestFit="1" customWidth="1"/>
    <col min="14335" max="14336" width="0" style="1030" hidden="1" customWidth="1"/>
    <col min="14337" max="14337" width="6" style="1030" bestFit="1" customWidth="1"/>
    <col min="14338" max="14338" width="11.375" style="1030" customWidth="1"/>
    <col min="14339" max="14339" width="12.75" style="1030" bestFit="1" customWidth="1"/>
    <col min="14340" max="14340" width="12.25" style="1030" bestFit="1" customWidth="1"/>
    <col min="14341" max="14341" width="16.125" style="1030" customWidth="1"/>
    <col min="14342" max="14342" width="13.375" style="1030" bestFit="1" customWidth="1"/>
    <col min="14343" max="14343" width="12.125" style="1030" customWidth="1"/>
    <col min="14344" max="14344" width="13.375" style="1030" bestFit="1" customWidth="1"/>
    <col min="14345" max="14586" width="8.875" style="1030"/>
    <col min="14587" max="14587" width="5" style="1030" bestFit="1" customWidth="1"/>
    <col min="14588" max="14588" width="3" style="1030" bestFit="1" customWidth="1"/>
    <col min="14589" max="14589" width="42.375" style="1030" customWidth="1"/>
    <col min="14590" max="14590" width="7.625" style="1030" bestFit="1" customWidth="1"/>
    <col min="14591" max="14592" width="0" style="1030" hidden="1" customWidth="1"/>
    <col min="14593" max="14593" width="6" style="1030" bestFit="1" customWidth="1"/>
    <col min="14594" max="14594" width="11.375" style="1030" customWidth="1"/>
    <col min="14595" max="14595" width="12.75" style="1030" bestFit="1" customWidth="1"/>
    <col min="14596" max="14596" width="12.25" style="1030" bestFit="1" customWidth="1"/>
    <col min="14597" max="14597" width="16.125" style="1030" customWidth="1"/>
    <col min="14598" max="14598" width="13.375" style="1030" bestFit="1" customWidth="1"/>
    <col min="14599" max="14599" width="12.125" style="1030" customWidth="1"/>
    <col min="14600" max="14600" width="13.375" style="1030" bestFit="1" customWidth="1"/>
    <col min="14601" max="14842" width="8.875" style="1030"/>
    <col min="14843" max="14843" width="5" style="1030" bestFit="1" customWidth="1"/>
    <col min="14844" max="14844" width="3" style="1030" bestFit="1" customWidth="1"/>
    <col min="14845" max="14845" width="42.375" style="1030" customWidth="1"/>
    <col min="14846" max="14846" width="7.625" style="1030" bestFit="1" customWidth="1"/>
    <col min="14847" max="14848" width="0" style="1030" hidden="1" customWidth="1"/>
    <col min="14849" max="14849" width="6" style="1030" bestFit="1" customWidth="1"/>
    <col min="14850" max="14850" width="11.375" style="1030" customWidth="1"/>
    <col min="14851" max="14851" width="12.75" style="1030" bestFit="1" customWidth="1"/>
    <col min="14852" max="14852" width="12.25" style="1030" bestFit="1" customWidth="1"/>
    <col min="14853" max="14853" width="16.125" style="1030" customWidth="1"/>
    <col min="14854" max="14854" width="13.375" style="1030" bestFit="1" customWidth="1"/>
    <col min="14855" max="14855" width="12.125" style="1030" customWidth="1"/>
    <col min="14856" max="14856" width="13.375" style="1030" bestFit="1" customWidth="1"/>
    <col min="14857" max="15098" width="8.875" style="1030"/>
    <col min="15099" max="15099" width="5" style="1030" bestFit="1" customWidth="1"/>
    <col min="15100" max="15100" width="3" style="1030" bestFit="1" customWidth="1"/>
    <col min="15101" max="15101" width="42.375" style="1030" customWidth="1"/>
    <col min="15102" max="15102" width="7.625" style="1030" bestFit="1" customWidth="1"/>
    <col min="15103" max="15104" width="0" style="1030" hidden="1" customWidth="1"/>
    <col min="15105" max="15105" width="6" style="1030" bestFit="1" customWidth="1"/>
    <col min="15106" max="15106" width="11.375" style="1030" customWidth="1"/>
    <col min="15107" max="15107" width="12.75" style="1030" bestFit="1" customWidth="1"/>
    <col min="15108" max="15108" width="12.25" style="1030" bestFit="1" customWidth="1"/>
    <col min="15109" max="15109" width="16.125" style="1030" customWidth="1"/>
    <col min="15110" max="15110" width="13.375" style="1030" bestFit="1" customWidth="1"/>
    <col min="15111" max="15111" width="12.125" style="1030" customWidth="1"/>
    <col min="15112" max="15112" width="13.375" style="1030" bestFit="1" customWidth="1"/>
    <col min="15113" max="15354" width="8.875" style="1030"/>
    <col min="15355" max="15355" width="5" style="1030" bestFit="1" customWidth="1"/>
    <col min="15356" max="15356" width="3" style="1030" bestFit="1" customWidth="1"/>
    <col min="15357" max="15357" width="42.375" style="1030" customWidth="1"/>
    <col min="15358" max="15358" width="7.625" style="1030" bestFit="1" customWidth="1"/>
    <col min="15359" max="15360" width="0" style="1030" hidden="1" customWidth="1"/>
    <col min="15361" max="15361" width="6" style="1030" bestFit="1" customWidth="1"/>
    <col min="15362" max="15362" width="11.375" style="1030" customWidth="1"/>
    <col min="15363" max="15363" width="12.75" style="1030" bestFit="1" customWidth="1"/>
    <col min="15364" max="15364" width="12.25" style="1030" bestFit="1" customWidth="1"/>
    <col min="15365" max="15365" width="16.125" style="1030" customWidth="1"/>
    <col min="15366" max="15366" width="13.375" style="1030" bestFit="1" customWidth="1"/>
    <col min="15367" max="15367" width="12.125" style="1030" customWidth="1"/>
    <col min="15368" max="15368" width="13.375" style="1030" bestFit="1" customWidth="1"/>
    <col min="15369" max="15610" width="8.875" style="1030"/>
    <col min="15611" max="15611" width="5" style="1030" bestFit="1" customWidth="1"/>
    <col min="15612" max="15612" width="3" style="1030" bestFit="1" customWidth="1"/>
    <col min="15613" max="15613" width="42.375" style="1030" customWidth="1"/>
    <col min="15614" max="15614" width="7.625" style="1030" bestFit="1" customWidth="1"/>
    <col min="15615" max="15616" width="0" style="1030" hidden="1" customWidth="1"/>
    <col min="15617" max="15617" width="6" style="1030" bestFit="1" customWidth="1"/>
    <col min="15618" max="15618" width="11.375" style="1030" customWidth="1"/>
    <col min="15619" max="15619" width="12.75" style="1030" bestFit="1" customWidth="1"/>
    <col min="15620" max="15620" width="12.25" style="1030" bestFit="1" customWidth="1"/>
    <col min="15621" max="15621" width="16.125" style="1030" customWidth="1"/>
    <col min="15622" max="15622" width="13.375" style="1030" bestFit="1" customWidth="1"/>
    <col min="15623" max="15623" width="12.125" style="1030" customWidth="1"/>
    <col min="15624" max="15624" width="13.375" style="1030" bestFit="1" customWidth="1"/>
    <col min="15625" max="15866" width="8.875" style="1030"/>
    <col min="15867" max="15867" width="5" style="1030" bestFit="1" customWidth="1"/>
    <col min="15868" max="15868" width="3" style="1030" bestFit="1" customWidth="1"/>
    <col min="15869" max="15869" width="42.375" style="1030" customWidth="1"/>
    <col min="15870" max="15870" width="7.625" style="1030" bestFit="1" customWidth="1"/>
    <col min="15871" max="15872" width="0" style="1030" hidden="1" customWidth="1"/>
    <col min="15873" max="15873" width="6" style="1030" bestFit="1" customWidth="1"/>
    <col min="15874" max="15874" width="11.375" style="1030" customWidth="1"/>
    <col min="15875" max="15875" width="12.75" style="1030" bestFit="1" customWidth="1"/>
    <col min="15876" max="15876" width="12.25" style="1030" bestFit="1" customWidth="1"/>
    <col min="15877" max="15877" width="16.125" style="1030" customWidth="1"/>
    <col min="15878" max="15878" width="13.375" style="1030" bestFit="1" customWidth="1"/>
    <col min="15879" max="15879" width="12.125" style="1030" customWidth="1"/>
    <col min="15880" max="15880" width="13.375" style="1030" bestFit="1" customWidth="1"/>
    <col min="15881" max="16122" width="8.875" style="1030"/>
    <col min="16123" max="16123" width="5" style="1030" bestFit="1" customWidth="1"/>
    <col min="16124" max="16124" width="3" style="1030" bestFit="1" customWidth="1"/>
    <col min="16125" max="16125" width="42.375" style="1030" customWidth="1"/>
    <col min="16126" max="16126" width="7.625" style="1030" bestFit="1" customWidth="1"/>
    <col min="16127" max="16128" width="0" style="1030" hidden="1" customWidth="1"/>
    <col min="16129" max="16129" width="6" style="1030" bestFit="1" customWidth="1"/>
    <col min="16130" max="16130" width="11.375" style="1030" customWidth="1"/>
    <col min="16131" max="16131" width="12.75" style="1030" bestFit="1" customWidth="1"/>
    <col min="16132" max="16132" width="12.25" style="1030" bestFit="1" customWidth="1"/>
    <col min="16133" max="16133" width="16.125" style="1030" customWidth="1"/>
    <col min="16134" max="16134" width="13.375" style="1030" bestFit="1" customWidth="1"/>
    <col min="16135" max="16135" width="12.125" style="1030" customWidth="1"/>
    <col min="16136" max="16136" width="13.375" style="1030" bestFit="1" customWidth="1"/>
    <col min="16137" max="16381" width="8.875" style="1030"/>
    <col min="16382" max="16384" width="8.875" style="1030" customWidth="1"/>
  </cols>
  <sheetData>
    <row r="1" spans="1:11" ht="14.25">
      <c r="A1" s="1908" t="s">
        <v>794</v>
      </c>
      <c r="B1" s="1908"/>
      <c r="C1" s="1908"/>
      <c r="D1" s="1908"/>
      <c r="E1" s="1908"/>
      <c r="F1" s="1908"/>
      <c r="G1" s="1908"/>
      <c r="H1" s="1908"/>
      <c r="I1" s="1908"/>
      <c r="J1" s="1908"/>
      <c r="K1" s="1908"/>
    </row>
    <row r="2" spans="1:11" ht="15">
      <c r="A2" s="1909" t="s">
        <v>787</v>
      </c>
      <c r="B2" s="1909"/>
      <c r="C2" s="1909"/>
      <c r="D2" s="1909"/>
      <c r="E2" s="1909"/>
      <c r="F2" s="1909"/>
      <c r="G2" s="1909"/>
      <c r="H2" s="1909"/>
      <c r="I2" s="1909"/>
      <c r="J2" s="1909"/>
      <c r="K2" s="1909"/>
    </row>
    <row r="3" spans="1:11" ht="15">
      <c r="A3" s="1037"/>
      <c r="B3" s="1037"/>
      <c r="C3" s="1037"/>
      <c r="D3" s="1038"/>
      <c r="E3" s="1039"/>
      <c r="F3" s="1119"/>
      <c r="G3" s="1135"/>
      <c r="H3" s="1135"/>
      <c r="I3" s="1135"/>
      <c r="J3" s="1910" t="s">
        <v>760</v>
      </c>
      <c r="K3" s="1910"/>
    </row>
    <row r="4" spans="1:11" ht="63" customHeight="1">
      <c r="A4" s="1040" t="s">
        <v>9</v>
      </c>
      <c r="B4" s="1040" t="s">
        <v>109</v>
      </c>
      <c r="C4" s="1040" t="s">
        <v>20</v>
      </c>
      <c r="D4" s="1041" t="s">
        <v>762</v>
      </c>
      <c r="E4" s="1042" t="s">
        <v>100</v>
      </c>
      <c r="F4" s="1041" t="s">
        <v>763</v>
      </c>
      <c r="G4" s="1041" t="s">
        <v>764</v>
      </c>
      <c r="H4" s="1041" t="s">
        <v>765</v>
      </c>
      <c r="I4" s="1041" t="s">
        <v>766</v>
      </c>
      <c r="J4" s="1041" t="s">
        <v>767</v>
      </c>
      <c r="K4" s="1041" t="s">
        <v>795</v>
      </c>
    </row>
    <row r="5" spans="1:11" ht="15.75" customHeight="1">
      <c r="A5" s="1043" t="str">
        <f>'Don gia XCSDL DC'!A6</f>
        <v>I</v>
      </c>
      <c r="B5" s="1044" t="str">
        <f>'Don gia XCSDL DC'!B6</f>
        <v xml:space="preserve"> Xây dựng cơ sở dữ liệu địa chính </v>
      </c>
      <c r="C5" s="1047"/>
      <c r="D5" s="1034"/>
      <c r="E5" s="1033"/>
      <c r="F5" s="1134"/>
      <c r="G5" s="1134"/>
      <c r="H5" s="1134"/>
      <c r="I5" s="1134"/>
      <c r="J5" s="1134"/>
      <c r="K5" s="1134"/>
    </row>
    <row r="6" spans="1:11" s="1031" customFormat="1" ht="15">
      <c r="A6" s="1043">
        <f>'Don gia XCSDL DC'!A7</f>
        <v>1</v>
      </c>
      <c r="B6" s="1044" t="str">
        <f>'Don gia XCSDL DC'!B7</f>
        <v>Công tác chuẩn bị</v>
      </c>
      <c r="C6" s="1047"/>
      <c r="D6" s="1034"/>
      <c r="E6" s="1035"/>
      <c r="F6" s="1134"/>
      <c r="G6" s="1134"/>
      <c r="H6" s="1134"/>
      <c r="I6" s="1134"/>
      <c r="J6" s="1134"/>
      <c r="K6" s="1134">
        <f>K7+K8</f>
        <v>4007573.8424056252</v>
      </c>
    </row>
    <row r="7" spans="1:11" ht="75">
      <c r="A7" s="1045" t="str">
        <f>'Don gia XCSDL DC'!A8</f>
        <v>1.1</v>
      </c>
      <c r="B7" s="1046" t="str">
        <f>'Don gia XCSDL DC'!B8</f>
        <v>Lập kế hoạch thi công chi tiết: xác định thời gian, địa điểm, khối lượng và nhân lực thực hiện của từng bước công việc; lập kế hoạch làm việc với các đơn vị có liên quan đến công tác xây dựng CSDL địa chính trên địa bàn thi công</v>
      </c>
      <c r="C7" s="1047" t="str">
        <f>'Don gia XCSDL DC'!C8</f>
        <v>Thửa</v>
      </c>
      <c r="D7" s="1032">
        <f>8000</f>
        <v>8000</v>
      </c>
      <c r="E7" s="1033">
        <f>'Don gia XCSDL DC'!I7</f>
        <v>0</v>
      </c>
      <c r="F7" s="1122">
        <f>D7*E7</f>
        <v>0</v>
      </c>
      <c r="G7" s="1122">
        <f>F7*15%</f>
        <v>0</v>
      </c>
      <c r="H7" s="1122">
        <f>F7*4%</f>
        <v>0</v>
      </c>
      <c r="I7" s="1122">
        <f>F7+G7+H7</f>
        <v>0</v>
      </c>
      <c r="J7" s="1122">
        <f>I7*10%</f>
        <v>0</v>
      </c>
      <c r="K7" s="1122">
        <f>I7+J7</f>
        <v>0</v>
      </c>
    </row>
    <row r="8" spans="1:11" ht="45">
      <c r="A8" s="1045" t="str">
        <f>'Don gia XCSDL DC'!A9</f>
        <v>1.2</v>
      </c>
      <c r="B8" s="1046" t="str">
        <f>'Don gia XCSDL DC'!B9</f>
        <v>Chuẩn bị nhân lực, địa điểm làm việc; chuẩn bị vật tư, thiết bị, dụng cụ, phần mềm phục vụ cho công tác xây dựng CSDL địa chính.</v>
      </c>
      <c r="C8" s="1047" t="str">
        <f>'Don gia XCSDL DC'!C9</f>
        <v>Thửa</v>
      </c>
      <c r="D8" s="1032">
        <f>D7</f>
        <v>8000</v>
      </c>
      <c r="E8" s="1033">
        <f>'Don gia XCSDL DC'!I9</f>
        <v>382.69421718923081</v>
      </c>
      <c r="F8" s="1122">
        <f>D8*E8</f>
        <v>3061553.7375138467</v>
      </c>
      <c r="G8" s="1122">
        <f t="shared" ref="G8:G19" si="0">F8*15%</f>
        <v>459233.06062707701</v>
      </c>
      <c r="H8" s="1122">
        <f t="shared" ref="H8:H19" si="1">F8*4%</f>
        <v>122462.14950055387</v>
      </c>
      <c r="I8" s="1122">
        <f t="shared" ref="I8:I19" si="2">F8+G8+H8</f>
        <v>3643248.9476414775</v>
      </c>
      <c r="J8" s="1122">
        <f t="shared" ref="J8:J19" si="3">I8*10%</f>
        <v>364324.89476414776</v>
      </c>
      <c r="K8" s="1122">
        <f t="shared" ref="K8:K19" si="4">I8+J8</f>
        <v>4007573.8424056252</v>
      </c>
    </row>
    <row r="9" spans="1:11" s="1031" customFormat="1" ht="15">
      <c r="A9" s="1043">
        <f>'Don gia XCSDL DC'!A10</f>
        <v>2</v>
      </c>
      <c r="B9" s="1044" t="str">
        <f>'Don gia XCSDL DC'!B10</f>
        <v>Thu thập tài liệu, dữ liệu</v>
      </c>
      <c r="C9" s="1047" t="str">
        <f>'Don gia XCSDL DC'!C10</f>
        <v>Thửa</v>
      </c>
      <c r="D9" s="1034">
        <f>D8</f>
        <v>8000</v>
      </c>
      <c r="E9" s="1033">
        <f>'Don gia XCSDL DC'!I10</f>
        <v>1541.0050033358464</v>
      </c>
      <c r="F9" s="1122">
        <f t="shared" ref="F9:F19" si="5">D9*E9</f>
        <v>12328040.026686771</v>
      </c>
      <c r="G9" s="1122">
        <f t="shared" si="0"/>
        <v>1849206.0040030156</v>
      </c>
      <c r="H9" s="1122">
        <f t="shared" si="1"/>
        <v>493121.60106747085</v>
      </c>
      <c r="I9" s="1122">
        <f t="shared" si="2"/>
        <v>14670367.631757258</v>
      </c>
      <c r="J9" s="1122">
        <f t="shared" si="3"/>
        <v>1467036.7631757259</v>
      </c>
      <c r="K9" s="1134">
        <f t="shared" si="4"/>
        <v>16137404.394932983</v>
      </c>
    </row>
    <row r="10" spans="1:11" s="1031" customFormat="1" ht="28.5">
      <c r="A10" s="1043">
        <f>'Don gia XCSDL DC'!A11</f>
        <v>3</v>
      </c>
      <c r="B10" s="1044" t="str">
        <f>'Don gia XCSDL DC'!B11</f>
        <v xml:space="preserve">Rà soát, đánh giá, phân loại và sắp xếp tài liệu, dữ liệu </v>
      </c>
      <c r="C10" s="1047"/>
      <c r="D10" s="1034"/>
      <c r="E10" s="1035"/>
      <c r="F10" s="1134"/>
      <c r="G10" s="1134"/>
      <c r="H10" s="1134"/>
      <c r="I10" s="1134"/>
      <c r="J10" s="1134"/>
      <c r="K10" s="1134">
        <f>SUM(K11:K13)</f>
        <v>43586923.946440093</v>
      </c>
    </row>
    <row r="11" spans="1:11" ht="68.25" customHeight="1">
      <c r="A11" s="1045" t="str">
        <f>'Don gia XCSDL DC'!A12</f>
        <v>3.1</v>
      </c>
      <c r="B11" s="1046" t="str">
        <f>'Don gia XCSDL DC'!B12</f>
        <v>Rà soát, đánh giá tài liệu, dữ liệu; lập báo cáo kết quả thực hiện</v>
      </c>
      <c r="C11" s="1047" t="str">
        <f>'Don gia XCSDL DC'!C12</f>
        <v>Thửa</v>
      </c>
      <c r="D11" s="1032">
        <f>8000</f>
        <v>8000</v>
      </c>
      <c r="E11" s="1033">
        <f>'Don gia XCSDL DC'!I12</f>
        <v>1242.6357480861541</v>
      </c>
      <c r="F11" s="1122">
        <f t="shared" si="5"/>
        <v>9941085.984689232</v>
      </c>
      <c r="G11" s="1122">
        <f t="shared" si="0"/>
        <v>1491162.8977033847</v>
      </c>
      <c r="H11" s="1122">
        <f t="shared" si="1"/>
        <v>397643.43938756926</v>
      </c>
      <c r="I11" s="1122">
        <f t="shared" si="2"/>
        <v>11829892.321780186</v>
      </c>
      <c r="J11" s="1122">
        <f t="shared" si="3"/>
        <v>1182989.2321780187</v>
      </c>
      <c r="K11" s="1122">
        <f t="shared" si="4"/>
        <v>13012881.553958206</v>
      </c>
    </row>
    <row r="12" spans="1:11" ht="36" customHeight="1">
      <c r="A12" s="1045" t="str">
        <f>'Don gia XCSDL DC'!A13</f>
        <v>3.2</v>
      </c>
      <c r="B12" s="1046" t="str">
        <f>'Don gia XCSDL DC'!B13</f>
        <v>Phân loại thửa đất; lập biểu tổng hợp</v>
      </c>
      <c r="C12" s="1047" t="str">
        <f>'Don gia XCSDL DC'!C13</f>
        <v>Thửa</v>
      </c>
      <c r="D12" s="1032">
        <f>D11</f>
        <v>8000</v>
      </c>
      <c r="E12" s="1033">
        <f>'Don gia XCSDL DC'!I13</f>
        <v>1449.3289300949232</v>
      </c>
      <c r="F12" s="1122">
        <f t="shared" si="5"/>
        <v>11594631.440759385</v>
      </c>
      <c r="G12" s="1122">
        <f t="shared" si="0"/>
        <v>1739194.7161139078</v>
      </c>
      <c r="H12" s="1122">
        <f t="shared" si="1"/>
        <v>463785.25763037539</v>
      </c>
      <c r="I12" s="1122">
        <f t="shared" si="2"/>
        <v>13797611.414503669</v>
      </c>
      <c r="J12" s="1122">
        <f t="shared" si="3"/>
        <v>1379761.1414503669</v>
      </c>
      <c r="K12" s="1122">
        <f t="shared" si="4"/>
        <v>15177372.555954035</v>
      </c>
    </row>
    <row r="13" spans="1:11" ht="46.5" customHeight="1">
      <c r="A13" s="1045" t="str">
        <f>'Don gia XCSDL DC'!A14</f>
        <v>3.3</v>
      </c>
      <c r="B13" s="1046" t="str">
        <f>'Don gia XCSDL DC'!B14</f>
        <v>Làm sạch, sắp xếp và đánh số thứ tự theo quy định về hồ sơ địa chính đối với Hồ sơ đăng ký đất đai, tài sản gắn liền với đất (Chỉ thực hiện đối với các thửa đã được cấp GCN; trường hợp tổ chức xây dựng CSDL đất đai kết hợp với tổ chức sắp xếp lại kho lưu trữ tài liệu đất đai thì định mức sắp xếp kho lưu trữ được tính theo định mức kinh tế - kỹ thuật về lưu trữ tài liệu đất đai và định mức xây dựng CSDL đất đai không tính nội dung công việc này)</v>
      </c>
      <c r="C13" s="1047" t="str">
        <f>'Don gia XCSDL DC'!C14</f>
        <v>Thửa</v>
      </c>
      <c r="D13" s="1032">
        <f>'Data_tinh thu'!I12</f>
        <v>4757.101449275362</v>
      </c>
      <c r="E13" s="1033">
        <f>'Don gia XCSDL DC'!I14</f>
        <v>2472.5480329203074</v>
      </c>
      <c r="F13" s="1122">
        <f t="shared" ref="F13" si="6">D13*E13</f>
        <v>11762161.83080814</v>
      </c>
      <c r="G13" s="1122">
        <f t="shared" ref="G13" si="7">F13*15%</f>
        <v>1764324.274621221</v>
      </c>
      <c r="H13" s="1122">
        <f t="shared" ref="H13" si="8">F13*4%</f>
        <v>470486.47323232563</v>
      </c>
      <c r="I13" s="1122">
        <f t="shared" ref="I13" si="9">F13+G13+H13</f>
        <v>13996972.578661686</v>
      </c>
      <c r="J13" s="1122">
        <f t="shared" ref="J13" si="10">I13*10%</f>
        <v>1399697.2578661686</v>
      </c>
      <c r="K13" s="1122">
        <f t="shared" ref="K13" si="11">I13+J13</f>
        <v>15396669.836527854</v>
      </c>
    </row>
    <row r="14" spans="1:11" s="1031" customFormat="1" ht="14.25">
      <c r="A14" s="1043">
        <f>'Don gia XCSDL DC'!A15</f>
        <v>4</v>
      </c>
      <c r="B14" s="1044" t="str">
        <f>'Don gia XCSDL DC'!B15</f>
        <v>Xây dựng dữ liệu không gian địa chính</v>
      </c>
      <c r="C14" s="1311"/>
      <c r="D14" s="1034"/>
      <c r="E14" s="1035"/>
      <c r="F14" s="1134"/>
      <c r="G14" s="1134"/>
      <c r="H14" s="1134"/>
      <c r="I14" s="1134"/>
      <c r="J14" s="1134"/>
      <c r="K14" s="1134">
        <f>SUM(K16:K22)</f>
        <v>64785888.232905559</v>
      </c>
    </row>
    <row r="15" spans="1:11" ht="15">
      <c r="A15" s="1045" t="str">
        <f>'Don gia XCSDL DC'!A16</f>
        <v>4.1</v>
      </c>
      <c r="B15" s="1046" t="str">
        <f>'Don gia XCSDL DC'!B16</f>
        <v>Chuẩn hóa các lớp đối tượng không gian địa chính</v>
      </c>
      <c r="C15" s="1047"/>
      <c r="D15" s="1032"/>
      <c r="E15" s="1033"/>
      <c r="F15" s="1122"/>
      <c r="G15" s="1122"/>
      <c r="H15" s="1122"/>
      <c r="I15" s="1122"/>
      <c r="J15" s="1122"/>
      <c r="K15" s="1122"/>
    </row>
    <row r="16" spans="1:11" ht="45">
      <c r="A16" s="1045"/>
      <c r="B16" s="1046" t="str">
        <f>'Don gia XCSDL DC'!B17</f>
        <v>Lập bảng đối chiếu giữa lớp đối tượng không gian địa chính với nội dung tương ứng trong bản đồ địa chính để tách, lọc các đối tượng từ nội dung bản đồ địa chính</v>
      </c>
      <c r="C16" s="1047" t="str">
        <f>'Don gia XCSDL DC'!C17</f>
        <v>Thửa</v>
      </c>
      <c r="D16" s="1032">
        <f>'Data_tinh thu'!D12</f>
        <v>8000</v>
      </c>
      <c r="E16" s="1033">
        <f>'Don gia XCSDL DC'!I17</f>
        <v>357.91210734600003</v>
      </c>
      <c r="F16" s="1122">
        <f t="shared" si="5"/>
        <v>2863296.8587680003</v>
      </c>
      <c r="G16" s="1122">
        <f t="shared" si="0"/>
        <v>429494.52881520003</v>
      </c>
      <c r="H16" s="1122">
        <f t="shared" si="1"/>
        <v>114531.87435072001</v>
      </c>
      <c r="I16" s="1122">
        <f t="shared" si="2"/>
        <v>3407323.2619339204</v>
      </c>
      <c r="J16" s="1122">
        <f t="shared" si="3"/>
        <v>340732.32619339204</v>
      </c>
      <c r="K16" s="1122">
        <f t="shared" si="4"/>
        <v>3748055.5881273123</v>
      </c>
    </row>
    <row r="17" spans="1:11" ht="30">
      <c r="A17" s="1045"/>
      <c r="B17" s="1046" t="str">
        <f>'Don gia XCSDL DC'!B18</f>
        <v>Chuẩn hóa các lớp đối tượng không gian địa chính chưa phù hợp với quy định kỹ thuật về CSDL đất đai</v>
      </c>
      <c r="C17" s="1047" t="str">
        <f>'Don gia XCSDL DC'!C18</f>
        <v>Thửa</v>
      </c>
      <c r="D17" s="1032">
        <f>'Data_tinh thu'!D12</f>
        <v>8000</v>
      </c>
      <c r="E17" s="1033">
        <f>'Don gia XCSDL DC'!I18</f>
        <v>1883.0719867664616</v>
      </c>
      <c r="F17" s="1122">
        <f t="shared" si="5"/>
        <v>15064575.894131692</v>
      </c>
      <c r="G17" s="1122">
        <f t="shared" si="0"/>
        <v>2259686.3841197537</v>
      </c>
      <c r="H17" s="1122">
        <f t="shared" si="1"/>
        <v>602583.03576526768</v>
      </c>
      <c r="I17" s="1122">
        <f t="shared" si="2"/>
        <v>17926845.314016715</v>
      </c>
      <c r="J17" s="1122">
        <f t="shared" si="3"/>
        <v>1792684.5314016715</v>
      </c>
      <c r="K17" s="1122">
        <f t="shared" si="4"/>
        <v>19719529.845418386</v>
      </c>
    </row>
    <row r="18" spans="1:11" ht="45">
      <c r="A18" s="1045"/>
      <c r="B18" s="1046" t="str">
        <f>'Don gia XCSDL DC'!B19</f>
        <v>Rà soát chuẩn hóa thông tin thuộc tính cho từng đối tượng không gian địa chính theo quy định kỹ thuật về CSDL đất đai</v>
      </c>
      <c r="C18" s="1047" t="str">
        <f>'Don gia XCSDL DC'!C19</f>
        <v>Thửa</v>
      </c>
      <c r="D18" s="1032">
        <f>'Data_tinh thu'!D12</f>
        <v>8000</v>
      </c>
      <c r="E18" s="1033">
        <f>'Don gia XCSDL DC'!I19</f>
        <v>3464.6025288555388</v>
      </c>
      <c r="F18" s="1122">
        <f t="shared" si="5"/>
        <v>27716820.230844311</v>
      </c>
      <c r="G18" s="1122">
        <f t="shared" si="0"/>
        <v>4157523.0346266464</v>
      </c>
      <c r="H18" s="1122">
        <f t="shared" si="1"/>
        <v>1108672.8092337726</v>
      </c>
      <c r="I18" s="1122">
        <f t="shared" si="2"/>
        <v>32983016.074704733</v>
      </c>
      <c r="J18" s="1122">
        <f t="shared" si="3"/>
        <v>3298301.6074704733</v>
      </c>
      <c r="K18" s="1122">
        <f t="shared" si="4"/>
        <v>36281317.682175204</v>
      </c>
    </row>
    <row r="19" spans="1:11" ht="45">
      <c r="A19" s="1045" t="str">
        <f>'Don gia XCSDL DC'!A20</f>
        <v>4.2</v>
      </c>
      <c r="B19" s="1346" t="str">
        <f>'Don gia XCSDL DC'!B20</f>
        <v>Chuyển đổi các lớp đối tượng không gian địa chính từ tệp (File) bản đồ số vào CSDL theo phạm vi đơn vị hành chính cấp xã</v>
      </c>
      <c r="C19" s="1347" t="str">
        <f>'Don gia XCSDL DC'!C20</f>
        <v>Thửa</v>
      </c>
      <c r="D19" s="1348">
        <f>'Data_tinh thu'!D12</f>
        <v>8000</v>
      </c>
      <c r="E19" s="1033">
        <f>'Don gia XCSDL DC'!I20</f>
        <v>480.99552303138455</v>
      </c>
      <c r="F19" s="1122">
        <f t="shared" si="5"/>
        <v>3847964.1842510765</v>
      </c>
      <c r="G19" s="1122">
        <f t="shared" si="0"/>
        <v>577194.62763766141</v>
      </c>
      <c r="H19" s="1122">
        <f t="shared" si="1"/>
        <v>153918.56737004308</v>
      </c>
      <c r="I19" s="1122">
        <f t="shared" si="2"/>
        <v>4579077.3792587807</v>
      </c>
      <c r="J19" s="1122">
        <f t="shared" si="3"/>
        <v>457907.73792587809</v>
      </c>
      <c r="K19" s="1122">
        <f t="shared" si="4"/>
        <v>5036985.1171846585</v>
      </c>
    </row>
    <row r="20" spans="1:11" ht="15" hidden="1">
      <c r="A20" s="1045" t="str">
        <f>'Don gia XCSDL DC'!A21</f>
        <v>4.3</v>
      </c>
      <c r="B20" s="1046" t="str">
        <f>'Don gia XCSDL DC'!B21</f>
        <v>Đối với khu vực chưa có bản đồ đia chính</v>
      </c>
      <c r="C20" s="1047"/>
      <c r="D20" s="1032"/>
      <c r="E20" s="1033"/>
      <c r="F20" s="1122"/>
      <c r="G20" s="1122"/>
      <c r="H20" s="1122"/>
      <c r="I20" s="1122"/>
      <c r="J20" s="1122"/>
      <c r="K20" s="1122"/>
    </row>
    <row r="21" spans="1:11" s="1031" customFormat="1" ht="60" hidden="1">
      <c r="A21" s="1043"/>
      <c r="B21" s="1046" t="str">
        <f>'Don gia XCSDL DC'!B23</f>
        <v>Chuyển đổi vào dữ liệu không gian địa chính và định vị trên dữ liệu không gian đất đai nền sơ đồ, bản trích đo địa chính chưa theo hệ tọa độ quốc gia VN-2000 hoặc bản đồ giải thửa dạng số</v>
      </c>
      <c r="C21" s="1047" t="str">
        <f>'Don gia XCSDL DC'!C23</f>
        <v>Thửa</v>
      </c>
      <c r="D21" s="1032">
        <f>'Data_tinh thu'!C15</f>
        <v>0</v>
      </c>
      <c r="E21" s="1033"/>
      <c r="F21" s="1122">
        <f t="shared" ref="F21:F22" si="12">D21*E21</f>
        <v>0</v>
      </c>
      <c r="G21" s="1122">
        <f t="shared" ref="G21:G22" si="13">F21*15%</f>
        <v>0</v>
      </c>
      <c r="H21" s="1122">
        <f t="shared" ref="H21:H22" si="14">F21*4%</f>
        <v>0</v>
      </c>
      <c r="I21" s="1122">
        <f t="shared" ref="I21:I22" si="15">F21+G21+H21</f>
        <v>0</v>
      </c>
      <c r="J21" s="1122">
        <f t="shared" ref="J21:J22" si="16">I21*10%</f>
        <v>0</v>
      </c>
      <c r="K21" s="1122">
        <f t="shared" ref="K21:K22" si="17">I21+J21</f>
        <v>0</v>
      </c>
    </row>
    <row r="22" spans="1:11" ht="45" hidden="1">
      <c r="A22" s="1045"/>
      <c r="B22" s="1046" t="str">
        <f>'Don gia XCSDL DC'!B24</f>
        <v xml:space="preserve"> Quét và định vị sơ bộ trên dữ liệu không gian đất đai nền sơ đồ, bản trích đo địa chính theo hệ tọa độ giả định hoặc bản đồ giải thửa dạng giấy</v>
      </c>
      <c r="C22" s="1047" t="str">
        <f>'Don gia XCSDL DC'!C24</f>
        <v>Thửa</v>
      </c>
      <c r="D22" s="1032">
        <f>'Data_tinh thu'!C16</f>
        <v>0</v>
      </c>
      <c r="E22" s="1033"/>
      <c r="F22" s="1122">
        <f t="shared" si="12"/>
        <v>0</v>
      </c>
      <c r="G22" s="1122">
        <f t="shared" si="13"/>
        <v>0</v>
      </c>
      <c r="H22" s="1122">
        <f t="shared" si="14"/>
        <v>0</v>
      </c>
      <c r="I22" s="1122">
        <f t="shared" si="15"/>
        <v>0</v>
      </c>
      <c r="J22" s="1122">
        <f t="shared" si="16"/>
        <v>0</v>
      </c>
      <c r="K22" s="1122">
        <f t="shared" si="17"/>
        <v>0</v>
      </c>
    </row>
    <row r="23" spans="1:11" ht="15">
      <c r="A23" s="1043">
        <f>'Don gia XCSDL DC'!A26</f>
        <v>5</v>
      </c>
      <c r="B23" s="1044" t="str">
        <f>'Don gia XCSDL DC'!B26</f>
        <v>Xây dựng dữ liệu thuộc tính địa chính</v>
      </c>
      <c r="C23" s="1047"/>
      <c r="D23" s="1032"/>
      <c r="E23" s="1033"/>
      <c r="F23" s="1122"/>
      <c r="G23" s="1122"/>
      <c r="H23" s="1122"/>
      <c r="I23" s="1122"/>
      <c r="J23" s="1122"/>
      <c r="K23" s="1134">
        <f>SUM(K24:K27)</f>
        <v>177236033.43727741</v>
      </c>
    </row>
    <row r="24" spans="1:11" ht="30">
      <c r="A24" s="1045" t="str">
        <f>'Don gia XCSDL DC'!A27</f>
        <v>5.1</v>
      </c>
      <c r="B24" s="1046" t="str">
        <f>'Don gia XCSDL DC'!B27</f>
        <v>Kiểm tra tính đầy đủ thông tin của thửa đất, lựa chọn tài liệu theo thứ tự ưu tiên</v>
      </c>
      <c r="C24" s="1047" t="str">
        <f>'Don gia XCSDL DC'!C27</f>
        <v>Thửa</v>
      </c>
      <c r="D24" s="1032">
        <f>'Data_tinh thu'!I12</f>
        <v>4757.101449275362</v>
      </c>
      <c r="E24" s="1033">
        <f>'Don gia XCSDL DC'!I27</f>
        <v>2302.3185174810765</v>
      </c>
      <c r="F24" s="1122">
        <f t="shared" ref="F24:F39" si="18">D24*E24</f>
        <v>10952362.756202731</v>
      </c>
      <c r="G24" s="1122">
        <f t="shared" ref="G24:G40" si="19">F24*15%</f>
        <v>1642854.4134304097</v>
      </c>
      <c r="H24" s="1122">
        <f t="shared" ref="H24:H40" si="20">F24*4%</f>
        <v>438094.51024810923</v>
      </c>
      <c r="I24" s="1122">
        <f t="shared" ref="I24:I40" si="21">F24+G24+H24</f>
        <v>13033311.67988125</v>
      </c>
      <c r="J24" s="1122">
        <f t="shared" ref="J24:J40" si="22">I24*10%</f>
        <v>1303331.1679881252</v>
      </c>
      <c r="K24" s="1122">
        <f t="shared" ref="K24:K40" si="23">I24+J24</f>
        <v>14336642.847869376</v>
      </c>
    </row>
    <row r="25" spans="1:11" ht="45">
      <c r="A25" s="1045" t="str">
        <f>'Don gia XCSDL DC'!A28</f>
        <v>5.2</v>
      </c>
      <c r="B25" s="1046" t="str">
        <f>'Don gia XCSDL DC'!B28</f>
        <v>Lập bảng tham chiếu số thửa cũ và số thửa mới đối với các thửa đất đã được cấp Giấy chứng nhận theo bản đồ cũ nhưng chưa cấp đổi Giấy chứng nhận</v>
      </c>
      <c r="C25" s="1047" t="str">
        <f>'Don gia XCSDL DC'!C28</f>
        <v>Thửa</v>
      </c>
      <c r="D25" s="1032">
        <f>D24*10%</f>
        <v>475.71014492753625</v>
      </c>
      <c r="E25" s="1033">
        <f>'Don gia XCSDL DC'!I28</f>
        <v>1149.9807507656924</v>
      </c>
      <c r="F25" s="1122">
        <f t="shared" ref="F25" si="24">D25*E25</f>
        <v>547057.50961062452</v>
      </c>
      <c r="G25" s="1122">
        <f t="shared" ref="G25" si="25">F25*15%</f>
        <v>82058.626441593675</v>
      </c>
      <c r="H25" s="1122">
        <f t="shared" ref="H25" si="26">F25*4%</f>
        <v>21882.30038442498</v>
      </c>
      <c r="I25" s="1122">
        <f t="shared" ref="I25" si="27">F25+G25+H25</f>
        <v>650998.43643664313</v>
      </c>
      <c r="J25" s="1122">
        <f t="shared" ref="J25" si="28">I25*10%</f>
        <v>65099.843643664317</v>
      </c>
      <c r="K25" s="1122">
        <f t="shared" ref="K25" si="29">I25+J25</f>
        <v>716098.28008030739</v>
      </c>
    </row>
    <row r="26" spans="1:11" ht="45">
      <c r="A26" s="1045" t="str">
        <f>'Don gia XCSDL DC'!A28</f>
        <v>5.2</v>
      </c>
      <c r="B26" s="1046" t="str">
        <f>'Don gia XCSDL DC'!B28</f>
        <v>Lập bảng tham chiếu số thửa cũ và số thửa mới đối với các thửa đất đã được cấp Giấy chứng nhận theo bản đồ cũ nhưng chưa cấp đổi Giấy chứng nhận</v>
      </c>
      <c r="C26" s="1047"/>
      <c r="D26" s="1032"/>
      <c r="E26" s="1033"/>
      <c r="F26" s="1122"/>
      <c r="G26" s="1122"/>
      <c r="H26" s="1122"/>
      <c r="I26" s="1122"/>
      <c r="J26" s="1122"/>
      <c r="K26" s="1122"/>
    </row>
    <row r="27" spans="1:11" s="1031" customFormat="1" ht="15">
      <c r="A27" s="1045" t="str">
        <f>'Don gia XCSDL DC'!A30</f>
        <v>5.3.1</v>
      </c>
      <c r="B27" s="1046" t="str">
        <f>'Don gia XCSDL DC'!B30</f>
        <v>Thửa đất loại I (Thửa A)</v>
      </c>
      <c r="C27" s="1047" t="str">
        <f>'Don gia XCSDL DC'!C30</f>
        <v>Thửa</v>
      </c>
      <c r="D27" s="1032">
        <f>'Data_tinh thu'!I12</f>
        <v>4757.101449275362</v>
      </c>
      <c r="E27" s="1033">
        <f>'Don gia XCSDL DC'!I30</f>
        <v>26044.981455704154</v>
      </c>
      <c r="F27" s="1122">
        <f t="shared" si="18"/>
        <v>123898619.02928016</v>
      </c>
      <c r="G27" s="1122">
        <f t="shared" si="19"/>
        <v>18584792.854392022</v>
      </c>
      <c r="H27" s="1122">
        <f t="shared" si="20"/>
        <v>4955944.7611712059</v>
      </c>
      <c r="I27" s="1122">
        <f t="shared" si="21"/>
        <v>147439356.64484337</v>
      </c>
      <c r="J27" s="1122">
        <f t="shared" si="22"/>
        <v>14743935.664484337</v>
      </c>
      <c r="K27" s="1122">
        <f t="shared" si="23"/>
        <v>162183292.30932772</v>
      </c>
    </row>
    <row r="28" spans="1:11" ht="15">
      <c r="A28" s="1043">
        <f>'Don gia XCSDL DC'!A34</f>
        <v>6</v>
      </c>
      <c r="B28" s="1044" t="str">
        <f>'Don gia XCSDL DC'!B34</f>
        <v>Hoàn thiện dữ liệu địa chính</v>
      </c>
      <c r="C28" s="1047"/>
      <c r="D28" s="1032"/>
      <c r="E28" s="1033"/>
      <c r="F28" s="1122"/>
      <c r="G28" s="1122"/>
      <c r="H28" s="1122"/>
      <c r="I28" s="1122"/>
      <c r="J28" s="1122"/>
      <c r="K28" s="1134">
        <f>SUM(K29:K30)</f>
        <v>31726344.305375196</v>
      </c>
    </row>
    <row r="29" spans="1:11" ht="15">
      <c r="A29" s="1045" t="str">
        <f>'Don gia XCSDL DC'!A35</f>
        <v>6.1</v>
      </c>
      <c r="B29" s="1046" t="str">
        <f>'Don gia XCSDL DC'!B35</f>
        <v>Hoàn thiện 100% thông tin trong CSDL</v>
      </c>
      <c r="C29" s="1047" t="str">
        <f>'Don gia XCSDL DC'!C35</f>
        <v>Thửa</v>
      </c>
      <c r="D29" s="1032">
        <f>'Data_tinh thu'!D12</f>
        <v>8000</v>
      </c>
      <c r="E29" s="1033">
        <f>'Don gia XCSDL DC'!I35</f>
        <v>2436.8707174810766</v>
      </c>
      <c r="F29" s="1122">
        <f t="shared" si="18"/>
        <v>19494965.739848614</v>
      </c>
      <c r="G29" s="1122">
        <f t="shared" si="19"/>
        <v>2924244.8609772921</v>
      </c>
      <c r="H29" s="1122">
        <f t="shared" si="20"/>
        <v>779798.62959394453</v>
      </c>
      <c r="I29" s="1122">
        <f t="shared" si="21"/>
        <v>23199009.230419852</v>
      </c>
      <c r="J29" s="1122">
        <f t="shared" si="22"/>
        <v>2319900.9230419854</v>
      </c>
      <c r="K29" s="1122">
        <f t="shared" si="23"/>
        <v>25518910.153461836</v>
      </c>
    </row>
    <row r="30" spans="1:11" ht="29.25" customHeight="1">
      <c r="A30" s="1045" t="str">
        <f>'Don gia XCSDL DC'!A36</f>
        <v>6.2</v>
      </c>
      <c r="B30" s="1046" t="str">
        <f>'Don gia XCSDL DC'!B36</f>
        <v>Xuất sổ địa chính (điện tử) theo khuôn dạng tệp tin PDF</v>
      </c>
      <c r="C30" s="1047" t="str">
        <f>'Don gia XCSDL DC'!C36</f>
        <v>Thửa</v>
      </c>
      <c r="D30" s="1032">
        <f>'Data_tinh thu'!D12</f>
        <v>8000</v>
      </c>
      <c r="E30" s="1033">
        <f>'Don gia XCSDL DC'!I36</f>
        <v>592.76491137446158</v>
      </c>
      <c r="F30" s="1122">
        <f t="shared" si="18"/>
        <v>4742119.2909956928</v>
      </c>
      <c r="G30" s="1122">
        <f t="shared" si="19"/>
        <v>711317.89364935388</v>
      </c>
      <c r="H30" s="1122">
        <f t="shared" si="20"/>
        <v>189684.77163982773</v>
      </c>
      <c r="I30" s="1122">
        <f t="shared" si="21"/>
        <v>5643121.9562848741</v>
      </c>
      <c r="J30" s="1122">
        <f t="shared" si="22"/>
        <v>564312.19562848739</v>
      </c>
      <c r="K30" s="1122">
        <f t="shared" si="23"/>
        <v>6207434.1519133616</v>
      </c>
    </row>
    <row r="31" spans="1:11" ht="15">
      <c r="A31" s="1043">
        <f>'Don gia XCSDL DC'!A37</f>
        <v>7</v>
      </c>
      <c r="B31" s="1044" t="str">
        <f>'Don gia XCSDL DC'!B37</f>
        <v>Xây dựng siêu dữ liệu địa chính</v>
      </c>
      <c r="C31" s="1047"/>
      <c r="D31" s="1032"/>
      <c r="E31" s="1033"/>
      <c r="F31" s="1122"/>
      <c r="G31" s="1122"/>
      <c r="H31" s="1122"/>
      <c r="I31" s="1122"/>
      <c r="J31" s="1122"/>
      <c r="K31" s="1134">
        <f>SUM(K32:K33)</f>
        <v>8431061.3827015441</v>
      </c>
    </row>
    <row r="32" spans="1:11" ht="30">
      <c r="A32" s="1045" t="str">
        <f>'Don gia XCSDL DC'!A38</f>
        <v>7.1</v>
      </c>
      <c r="B32" s="1046" t="str">
        <f>'Don gia XCSDL DC'!B38</f>
        <v>Thu nhận các thông tin cần thiết để xây dựng siêu dữ liệu (thông tin mô tả dữ liệu) địa chính</v>
      </c>
      <c r="C32" s="1047" t="str">
        <f>'Don gia XCSDL DC'!C38</f>
        <v>Thửa</v>
      </c>
      <c r="D32" s="1312">
        <f>D30</f>
        <v>8000</v>
      </c>
      <c r="E32" s="1033">
        <f>'Don gia XCSDL DC'!I38</f>
        <v>786.29306872046152</v>
      </c>
      <c r="F32" s="1122">
        <f t="shared" si="18"/>
        <v>6290344.5497636925</v>
      </c>
      <c r="G32" s="1122">
        <f t="shared" si="19"/>
        <v>943551.68246455386</v>
      </c>
      <c r="H32" s="1122">
        <f t="shared" si="20"/>
        <v>251613.78199054769</v>
      </c>
      <c r="I32" s="1122">
        <f t="shared" si="21"/>
        <v>7485510.0142187942</v>
      </c>
      <c r="J32" s="1122">
        <f t="shared" si="22"/>
        <v>748551.00142187951</v>
      </c>
      <c r="K32" s="1122">
        <f t="shared" si="23"/>
        <v>8234061.0156406742</v>
      </c>
    </row>
    <row r="33" spans="1:11" ht="30">
      <c r="A33" s="1045" t="str">
        <f>'Don gia XCSDL DC'!A39</f>
        <v>7.2</v>
      </c>
      <c r="B33" s="1046" t="str">
        <f>'Don gia XCSDL DC'!B39</f>
        <v>Nhập thông tin siêu dữ liệu địa chính cho từng đơn vị hành chính cấp xã</v>
      </c>
      <c r="C33" s="1047" t="str">
        <f>'Don gia XCSDL DC'!C39</f>
        <v>Thửa</v>
      </c>
      <c r="D33" s="1313">
        <f>D30</f>
        <v>8000</v>
      </c>
      <c r="E33" s="1033">
        <f>'Don gia XCSDL DC'!I39</f>
        <v>18.812105334307688</v>
      </c>
      <c r="F33" s="1122">
        <f t="shared" si="18"/>
        <v>150496.84267446151</v>
      </c>
      <c r="G33" s="1122">
        <f t="shared" si="19"/>
        <v>22574.526401169227</v>
      </c>
      <c r="H33" s="1122">
        <f t="shared" si="20"/>
        <v>6019.8737069784611</v>
      </c>
      <c r="I33" s="1122">
        <f t="shared" si="21"/>
        <v>179091.24278260919</v>
      </c>
      <c r="J33" s="1122">
        <f t="shared" si="22"/>
        <v>17909.124278260919</v>
      </c>
      <c r="K33" s="1122">
        <f t="shared" si="23"/>
        <v>197000.36706087011</v>
      </c>
    </row>
    <row r="34" spans="1:11" ht="28.5">
      <c r="A34" s="1043">
        <f>'Don gia XCSDL DC'!A40</f>
        <v>8</v>
      </c>
      <c r="B34" s="1044" t="str">
        <f>'Don gia XCSDL DC'!B40</f>
        <v>Đối soát, tích hợp dữ liệu vào hệ thống (do Văn phòng Đăng ký đất đai thực hiện)</v>
      </c>
      <c r="C34" s="1047"/>
      <c r="D34" s="1180"/>
      <c r="E34" s="1033"/>
      <c r="F34" s="1122"/>
      <c r="G34" s="1122"/>
      <c r="H34" s="1122"/>
      <c r="I34" s="1122"/>
      <c r="J34" s="1122"/>
      <c r="K34" s="1134">
        <f>SUM(K35:K37)</f>
        <v>55202794.406148642</v>
      </c>
    </row>
    <row r="35" spans="1:11" ht="30">
      <c r="A35" s="1045" t="str">
        <f>'Don gia XCSDL DC'!A41</f>
        <v>8.1</v>
      </c>
      <c r="B35" s="1046" t="str">
        <f>'Don gia XCSDL DC'!B41</f>
        <v>Đối soát thông tin của thửa đất trong CSDL với nguồn tài liệu, dữ liệu đã sử dụng để xây dựng CSDL</v>
      </c>
      <c r="C35" s="1047" t="str">
        <f>'Don gia XCSDL DC'!C41</f>
        <v>Thửa</v>
      </c>
      <c r="D35" s="1181">
        <f>'Data_tinh thu'!D12</f>
        <v>8000</v>
      </c>
      <c r="E35" s="1033">
        <f>'Don gia XCSDL DC'!I41</f>
        <v>1423.3863441233846</v>
      </c>
      <c r="F35" s="1122">
        <f t="shared" si="18"/>
        <v>11387090.752987076</v>
      </c>
      <c r="G35" s="1122">
        <f t="shared" si="19"/>
        <v>1708063.6129480612</v>
      </c>
      <c r="H35" s="1122">
        <f t="shared" si="20"/>
        <v>455483.63011948304</v>
      </c>
      <c r="I35" s="1122">
        <f t="shared" si="21"/>
        <v>13550637.996054621</v>
      </c>
      <c r="J35" s="1122">
        <f t="shared" si="22"/>
        <v>1355063.7996054622</v>
      </c>
      <c r="K35" s="1122">
        <f t="shared" si="23"/>
        <v>14905701.795660084</v>
      </c>
    </row>
    <row r="36" spans="1:11" ht="15">
      <c r="A36" s="1045" t="str">
        <f>'Don gia XCSDL DC'!A42</f>
        <v>8.2</v>
      </c>
      <c r="B36" s="1046" t="str">
        <f>'Don gia XCSDL DC'!B42</f>
        <v>Ký số vào sổ địa chính (điện tử)</v>
      </c>
      <c r="C36" s="1047" t="str">
        <f>'Don gia XCSDL DC'!C42</f>
        <v>Thửa</v>
      </c>
      <c r="D36" s="1181">
        <f>'Data_tinh thu'!D12</f>
        <v>8000</v>
      </c>
      <c r="E36" s="1033">
        <f>'Don gia XCSDL DC'!I42</f>
        <v>1345.8619727489231</v>
      </c>
      <c r="F36" s="1122">
        <f t="shared" si="18"/>
        <v>10766895.781991385</v>
      </c>
      <c r="G36" s="1122">
        <f t="shared" si="19"/>
        <v>1615034.3672987076</v>
      </c>
      <c r="H36" s="1122">
        <f t="shared" si="20"/>
        <v>430675.83127965539</v>
      </c>
      <c r="I36" s="1122">
        <f t="shared" si="21"/>
        <v>12812605.980569748</v>
      </c>
      <c r="J36" s="1122">
        <f t="shared" si="22"/>
        <v>1281260.5980569748</v>
      </c>
      <c r="K36" s="1122">
        <f t="shared" si="23"/>
        <v>14093866.578626722</v>
      </c>
    </row>
    <row r="37" spans="1:11" ht="30">
      <c r="A37" s="1045" t="str">
        <f>'Don gia XCSDL DC'!A43</f>
        <v>8.3</v>
      </c>
      <c r="B37" s="1046" t="str">
        <f>'Don gia XCSDL DC'!B43</f>
        <v>Tích hợp dữ liệu vào hệ thống theo định kỳ hàng tháng phục vụ quản lý, vận hành, khai thác sử dụng</v>
      </c>
      <c r="C37" s="1047" t="str">
        <f>'Don gia XCSDL DC'!C43</f>
        <v>Thửa</v>
      </c>
      <c r="D37" s="1180">
        <f>'Data_tinh thu'!D12</f>
        <v>8000</v>
      </c>
      <c r="E37" s="1033">
        <f>'Don gia XCSDL DC'!I43</f>
        <v>2502.2179174810767</v>
      </c>
      <c r="F37" s="1122">
        <f t="shared" si="18"/>
        <v>20017743.339848615</v>
      </c>
      <c r="G37" s="1122">
        <f t="shared" si="19"/>
        <v>3002661.5009772922</v>
      </c>
      <c r="H37" s="1122">
        <f t="shared" si="20"/>
        <v>800709.73359394458</v>
      </c>
      <c r="I37" s="1122">
        <f t="shared" si="21"/>
        <v>23821114.574419852</v>
      </c>
      <c r="J37" s="1122">
        <f t="shared" si="22"/>
        <v>2382111.4574419851</v>
      </c>
      <c r="K37" s="1122">
        <f t="shared" si="23"/>
        <v>26203226.031861838</v>
      </c>
    </row>
    <row r="38" spans="1:11" ht="15">
      <c r="A38" s="1043">
        <f>'Don gia XCSDL DC'!A44</f>
        <v>9</v>
      </c>
      <c r="B38" s="1044" t="str">
        <f>'Don gia XCSDL DC'!B44</f>
        <v>Phục vụ kiểm tra, nghiệm thu CSDL địa chính</v>
      </c>
      <c r="C38" s="1047"/>
      <c r="D38" s="1180"/>
      <c r="E38" s="1033"/>
      <c r="F38" s="1122"/>
      <c r="G38" s="1122"/>
      <c r="H38" s="1122"/>
      <c r="I38" s="1122"/>
      <c r="J38" s="1122"/>
      <c r="K38" s="1134">
        <f>SUM(K39:K39)</f>
        <v>4626223.8040476209</v>
      </c>
    </row>
    <row r="39" spans="1:11" ht="75">
      <c r="A39" s="1045"/>
      <c r="B39" s="1046" t="str">
        <f>'Don gia XCSDL DC'!B45</f>
        <v>Chuẩn bị tư liệu, tài liệu và phục vụ giám sát, kiểm tra, nghiệm thu; tổng hợp, xác định khối lượng sản phẩm đã thực hiện theo định kỳ hàng tháng, theo công đoạn công trình và khi kết thúc công trình. Lập biên bản bàn giao dữ liệu địa chính</v>
      </c>
      <c r="C39" s="1047" t="str">
        <f>'Don gia XCSDL DC'!C45</f>
        <v>Thửa</v>
      </c>
      <c r="D39" s="1180">
        <f>'Data_tinh thu'!D12</f>
        <v>8000</v>
      </c>
      <c r="E39" s="1033">
        <f>'Don gia XCSDL DC'!I45</f>
        <v>441.77079870584618</v>
      </c>
      <c r="F39" s="1122">
        <f t="shared" si="18"/>
        <v>3534166.3896467695</v>
      </c>
      <c r="G39" s="1122">
        <f t="shared" si="19"/>
        <v>530124.95844701538</v>
      </c>
      <c r="H39" s="1122">
        <f t="shared" si="20"/>
        <v>141366.65558587079</v>
      </c>
      <c r="I39" s="1122">
        <f t="shared" si="21"/>
        <v>4205658.0036796555</v>
      </c>
      <c r="J39" s="1122">
        <f t="shared" si="22"/>
        <v>420565.8003679656</v>
      </c>
      <c r="K39" s="1122">
        <f t="shared" si="23"/>
        <v>4626223.8040476209</v>
      </c>
    </row>
    <row r="40" spans="1:11" ht="15">
      <c r="A40" s="1450">
        <v>10</v>
      </c>
      <c r="B40" s="1451" t="s">
        <v>940</v>
      </c>
      <c r="C40" s="1047"/>
      <c r="D40" s="1180"/>
      <c r="E40" s="1033"/>
      <c r="F40" s="1122" t="e">
        <f>'Nhân công quet'!#REF!</f>
        <v>#REF!</v>
      </c>
      <c r="G40" s="1122" t="e">
        <f t="shared" si="19"/>
        <v>#REF!</v>
      </c>
      <c r="H40" s="1122" t="e">
        <f t="shared" si="20"/>
        <v>#REF!</v>
      </c>
      <c r="I40" s="1122" t="e">
        <f t="shared" si="21"/>
        <v>#REF!</v>
      </c>
      <c r="J40" s="1122" t="e">
        <f t="shared" si="22"/>
        <v>#REF!</v>
      </c>
      <c r="K40" s="1449" t="e">
        <f t="shared" si="23"/>
        <v>#REF!</v>
      </c>
    </row>
    <row r="41" spans="1:11" ht="15">
      <c r="A41" s="1450">
        <v>11</v>
      </c>
      <c r="B41" s="1451" t="s">
        <v>1044</v>
      </c>
      <c r="C41" s="1047"/>
      <c r="D41" s="1180"/>
      <c r="E41" s="1033"/>
      <c r="F41" s="1122" t="e">
        <f>'Nhân công Nen'!#REF!</f>
        <v>#REF!</v>
      </c>
      <c r="G41" s="1122" t="e">
        <f t="shared" ref="G41" si="30">F41*15%</f>
        <v>#REF!</v>
      </c>
      <c r="H41" s="1122" t="e">
        <f t="shared" ref="H41" si="31">F41*4%</f>
        <v>#REF!</v>
      </c>
      <c r="I41" s="1122" t="e">
        <f t="shared" ref="I41" si="32">F41+G41+H41</f>
        <v>#REF!</v>
      </c>
      <c r="J41" s="1122" t="e">
        <f t="shared" ref="J41" si="33">I41*10%</f>
        <v>#REF!</v>
      </c>
      <c r="K41" s="1449" t="e">
        <f t="shared" ref="K41" si="34">I41+J41</f>
        <v>#REF!</v>
      </c>
    </row>
    <row r="42" spans="1:11">
      <c r="A42" s="1180"/>
      <c r="B42" s="1196" t="s">
        <v>35</v>
      </c>
      <c r="C42" s="1180"/>
      <c r="D42" s="1180"/>
      <c r="E42" s="1180"/>
      <c r="F42" s="1181"/>
      <c r="G42" s="1181"/>
      <c r="H42" s="1181"/>
      <c r="I42" s="1181"/>
      <c r="J42" s="1181"/>
      <c r="K42" s="1197" t="e">
        <f>K6+K9+K10+K14+K23+K28+K31+K34+K38+K40+K41</f>
        <v>#REF!</v>
      </c>
    </row>
  </sheetData>
  <mergeCells count="3">
    <mergeCell ref="A1:K1"/>
    <mergeCell ref="A2:K2"/>
    <mergeCell ref="J3:K3"/>
  </mergeCells>
  <pageMargins left="0.75" right="0.75" top="1" bottom="1" header="0.5" footer="0.5"/>
  <pageSetup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22"/>
  <sheetViews>
    <sheetView zoomScale="85" zoomScaleNormal="85" workbookViewId="0">
      <selection activeCell="F6" sqref="F6:F9"/>
    </sheetView>
  </sheetViews>
  <sheetFormatPr defaultRowHeight="12.75"/>
  <cols>
    <col min="1" max="1" width="5.125" style="1030" bestFit="1" customWidth="1"/>
    <col min="2" max="2" width="3.25" style="1030" bestFit="1" customWidth="1"/>
    <col min="3" max="3" width="42.375" style="1030" customWidth="1"/>
    <col min="4" max="4" width="7.625" style="1030" bestFit="1" customWidth="1"/>
    <col min="5" max="5" width="6.125" style="1030" hidden="1" customWidth="1"/>
    <col min="6" max="6" width="5.625" style="1030" hidden="1" customWidth="1"/>
    <col min="7" max="7" width="6.125" style="1030" bestFit="1" customWidth="1"/>
    <col min="8" max="8" width="11.375" style="1123" customWidth="1"/>
    <col min="9" max="9" width="13.375" style="1030" bestFit="1" customWidth="1"/>
    <col min="10" max="10" width="12.875" style="1123" bestFit="1" customWidth="1"/>
    <col min="11" max="11" width="16.125" style="1123" customWidth="1"/>
    <col min="12" max="12" width="14" style="1123" bestFit="1" customWidth="1"/>
    <col min="13" max="13" width="12.125" style="1123" customWidth="1"/>
    <col min="14" max="14" width="14" style="1123" bestFit="1" customWidth="1"/>
    <col min="15" max="15" width="9.875" style="1030" bestFit="1" customWidth="1"/>
    <col min="16" max="256" width="8.875" style="1030"/>
    <col min="257" max="257" width="5" style="1030" bestFit="1" customWidth="1"/>
    <col min="258" max="258" width="3" style="1030" bestFit="1" customWidth="1"/>
    <col min="259" max="259" width="42.375" style="1030" customWidth="1"/>
    <col min="260" max="260" width="7.625" style="1030" bestFit="1" customWidth="1"/>
    <col min="261" max="262" width="0" style="1030" hidden="1" customWidth="1"/>
    <col min="263" max="263" width="6" style="1030" bestFit="1" customWidth="1"/>
    <col min="264" max="264" width="11.375" style="1030" customWidth="1"/>
    <col min="265" max="265" width="12.75" style="1030" bestFit="1" customWidth="1"/>
    <col min="266" max="266" width="12.25" style="1030" bestFit="1" customWidth="1"/>
    <col min="267" max="267" width="16.125" style="1030" customWidth="1"/>
    <col min="268" max="268" width="13.375" style="1030" bestFit="1" customWidth="1"/>
    <col min="269" max="269" width="12.125" style="1030" customWidth="1"/>
    <col min="270" max="270" width="13.375" style="1030" bestFit="1" customWidth="1"/>
    <col min="271" max="512" width="8.875" style="1030"/>
    <col min="513" max="513" width="5" style="1030" bestFit="1" customWidth="1"/>
    <col min="514" max="514" width="3" style="1030" bestFit="1" customWidth="1"/>
    <col min="515" max="515" width="42.375" style="1030" customWidth="1"/>
    <col min="516" max="516" width="7.625" style="1030" bestFit="1" customWidth="1"/>
    <col min="517" max="518" width="0" style="1030" hidden="1" customWidth="1"/>
    <col min="519" max="519" width="6" style="1030" bestFit="1" customWidth="1"/>
    <col min="520" max="520" width="11.375" style="1030" customWidth="1"/>
    <col min="521" max="521" width="12.75" style="1030" bestFit="1" customWidth="1"/>
    <col min="522" max="522" width="12.25" style="1030" bestFit="1" customWidth="1"/>
    <col min="523" max="523" width="16.125" style="1030" customWidth="1"/>
    <col min="524" max="524" width="13.375" style="1030" bestFit="1" customWidth="1"/>
    <col min="525" max="525" width="12.125" style="1030" customWidth="1"/>
    <col min="526" max="526" width="13.375" style="1030" bestFit="1" customWidth="1"/>
    <col min="527" max="768" width="8.875" style="1030"/>
    <col min="769" max="769" width="5" style="1030" bestFit="1" customWidth="1"/>
    <col min="770" max="770" width="3" style="1030" bestFit="1" customWidth="1"/>
    <col min="771" max="771" width="42.375" style="1030" customWidth="1"/>
    <col min="772" max="772" width="7.625" style="1030" bestFit="1" customWidth="1"/>
    <col min="773" max="774" width="0" style="1030" hidden="1" customWidth="1"/>
    <col min="775" max="775" width="6" style="1030" bestFit="1" customWidth="1"/>
    <col min="776" max="776" width="11.375" style="1030" customWidth="1"/>
    <col min="777" max="777" width="12.75" style="1030" bestFit="1" customWidth="1"/>
    <col min="778" max="778" width="12.25" style="1030" bestFit="1" customWidth="1"/>
    <col min="779" max="779" width="16.125" style="1030" customWidth="1"/>
    <col min="780" max="780" width="13.375" style="1030" bestFit="1" customWidth="1"/>
    <col min="781" max="781" width="12.125" style="1030" customWidth="1"/>
    <col min="782" max="782" width="13.375" style="1030" bestFit="1" customWidth="1"/>
    <col min="783" max="1024" width="8.875" style="1030"/>
    <col min="1025" max="1025" width="5" style="1030" bestFit="1" customWidth="1"/>
    <col min="1026" max="1026" width="3" style="1030" bestFit="1" customWidth="1"/>
    <col min="1027" max="1027" width="42.375" style="1030" customWidth="1"/>
    <col min="1028" max="1028" width="7.625" style="1030" bestFit="1" customWidth="1"/>
    <col min="1029" max="1030" width="0" style="1030" hidden="1" customWidth="1"/>
    <col min="1031" max="1031" width="6" style="1030" bestFit="1" customWidth="1"/>
    <col min="1032" max="1032" width="11.375" style="1030" customWidth="1"/>
    <col min="1033" max="1033" width="12.75" style="1030" bestFit="1" customWidth="1"/>
    <col min="1034" max="1034" width="12.25" style="1030" bestFit="1" customWidth="1"/>
    <col min="1035" max="1035" width="16.125" style="1030" customWidth="1"/>
    <col min="1036" max="1036" width="13.375" style="1030" bestFit="1" customWidth="1"/>
    <col min="1037" max="1037" width="12.125" style="1030" customWidth="1"/>
    <col min="1038" max="1038" width="13.375" style="1030" bestFit="1" customWidth="1"/>
    <col min="1039" max="1280" width="8.875" style="1030"/>
    <col min="1281" max="1281" width="5" style="1030" bestFit="1" customWidth="1"/>
    <col min="1282" max="1282" width="3" style="1030" bestFit="1" customWidth="1"/>
    <col min="1283" max="1283" width="42.375" style="1030" customWidth="1"/>
    <col min="1284" max="1284" width="7.625" style="1030" bestFit="1" customWidth="1"/>
    <col min="1285" max="1286" width="0" style="1030" hidden="1" customWidth="1"/>
    <col min="1287" max="1287" width="6" style="1030" bestFit="1" customWidth="1"/>
    <col min="1288" max="1288" width="11.375" style="1030" customWidth="1"/>
    <col min="1289" max="1289" width="12.75" style="1030" bestFit="1" customWidth="1"/>
    <col min="1290" max="1290" width="12.25" style="1030" bestFit="1" customWidth="1"/>
    <col min="1291" max="1291" width="16.125" style="1030" customWidth="1"/>
    <col min="1292" max="1292" width="13.375" style="1030" bestFit="1" customWidth="1"/>
    <col min="1293" max="1293" width="12.125" style="1030" customWidth="1"/>
    <col min="1294" max="1294" width="13.375" style="1030" bestFit="1" customWidth="1"/>
    <col min="1295" max="1536" width="8.875" style="1030"/>
    <col min="1537" max="1537" width="5" style="1030" bestFit="1" customWidth="1"/>
    <col min="1538" max="1538" width="3" style="1030" bestFit="1" customWidth="1"/>
    <col min="1539" max="1539" width="42.375" style="1030" customWidth="1"/>
    <col min="1540" max="1540" width="7.625" style="1030" bestFit="1" customWidth="1"/>
    <col min="1541" max="1542" width="0" style="1030" hidden="1" customWidth="1"/>
    <col min="1543" max="1543" width="6" style="1030" bestFit="1" customWidth="1"/>
    <col min="1544" max="1544" width="11.375" style="1030" customWidth="1"/>
    <col min="1545" max="1545" width="12.75" style="1030" bestFit="1" customWidth="1"/>
    <col min="1546" max="1546" width="12.25" style="1030" bestFit="1" customWidth="1"/>
    <col min="1547" max="1547" width="16.125" style="1030" customWidth="1"/>
    <col min="1548" max="1548" width="13.375" style="1030" bestFit="1" customWidth="1"/>
    <col min="1549" max="1549" width="12.125" style="1030" customWidth="1"/>
    <col min="1550" max="1550" width="13.375" style="1030" bestFit="1" customWidth="1"/>
    <col min="1551" max="1792" width="8.875" style="1030"/>
    <col min="1793" max="1793" width="5" style="1030" bestFit="1" customWidth="1"/>
    <col min="1794" max="1794" width="3" style="1030" bestFit="1" customWidth="1"/>
    <col min="1795" max="1795" width="42.375" style="1030" customWidth="1"/>
    <col min="1796" max="1796" width="7.625" style="1030" bestFit="1" customWidth="1"/>
    <col min="1797" max="1798" width="0" style="1030" hidden="1" customWidth="1"/>
    <col min="1799" max="1799" width="6" style="1030" bestFit="1" customWidth="1"/>
    <col min="1800" max="1800" width="11.375" style="1030" customWidth="1"/>
    <col min="1801" max="1801" width="12.75" style="1030" bestFit="1" customWidth="1"/>
    <col min="1802" max="1802" width="12.25" style="1030" bestFit="1" customWidth="1"/>
    <col min="1803" max="1803" width="16.125" style="1030" customWidth="1"/>
    <col min="1804" max="1804" width="13.375" style="1030" bestFit="1" customWidth="1"/>
    <col min="1805" max="1805" width="12.125" style="1030" customWidth="1"/>
    <col min="1806" max="1806" width="13.375" style="1030" bestFit="1" customWidth="1"/>
    <col min="1807" max="2048" width="8.875" style="1030"/>
    <col min="2049" max="2049" width="5" style="1030" bestFit="1" customWidth="1"/>
    <col min="2050" max="2050" width="3" style="1030" bestFit="1" customWidth="1"/>
    <col min="2051" max="2051" width="42.375" style="1030" customWidth="1"/>
    <col min="2052" max="2052" width="7.625" style="1030" bestFit="1" customWidth="1"/>
    <col min="2053" max="2054" width="0" style="1030" hidden="1" customWidth="1"/>
    <col min="2055" max="2055" width="6" style="1030" bestFit="1" customWidth="1"/>
    <col min="2056" max="2056" width="11.375" style="1030" customWidth="1"/>
    <col min="2057" max="2057" width="12.75" style="1030" bestFit="1" customWidth="1"/>
    <col min="2058" max="2058" width="12.25" style="1030" bestFit="1" customWidth="1"/>
    <col min="2059" max="2059" width="16.125" style="1030" customWidth="1"/>
    <col min="2060" max="2060" width="13.375" style="1030" bestFit="1" customWidth="1"/>
    <col min="2061" max="2061" width="12.125" style="1030" customWidth="1"/>
    <col min="2062" max="2062" width="13.375" style="1030" bestFit="1" customWidth="1"/>
    <col min="2063" max="2304" width="8.875" style="1030"/>
    <col min="2305" max="2305" width="5" style="1030" bestFit="1" customWidth="1"/>
    <col min="2306" max="2306" width="3" style="1030" bestFit="1" customWidth="1"/>
    <col min="2307" max="2307" width="42.375" style="1030" customWidth="1"/>
    <col min="2308" max="2308" width="7.625" style="1030" bestFit="1" customWidth="1"/>
    <col min="2309" max="2310" width="0" style="1030" hidden="1" customWidth="1"/>
    <col min="2311" max="2311" width="6" style="1030" bestFit="1" customWidth="1"/>
    <col min="2312" max="2312" width="11.375" style="1030" customWidth="1"/>
    <col min="2313" max="2313" width="12.75" style="1030" bestFit="1" customWidth="1"/>
    <col min="2314" max="2314" width="12.25" style="1030" bestFit="1" customWidth="1"/>
    <col min="2315" max="2315" width="16.125" style="1030" customWidth="1"/>
    <col min="2316" max="2316" width="13.375" style="1030" bestFit="1" customWidth="1"/>
    <col min="2317" max="2317" width="12.125" style="1030" customWidth="1"/>
    <col min="2318" max="2318" width="13.375" style="1030" bestFit="1" customWidth="1"/>
    <col min="2319" max="2560" width="8.875" style="1030"/>
    <col min="2561" max="2561" width="5" style="1030" bestFit="1" customWidth="1"/>
    <col min="2562" max="2562" width="3" style="1030" bestFit="1" customWidth="1"/>
    <col min="2563" max="2563" width="42.375" style="1030" customWidth="1"/>
    <col min="2564" max="2564" width="7.625" style="1030" bestFit="1" customWidth="1"/>
    <col min="2565" max="2566" width="0" style="1030" hidden="1" customWidth="1"/>
    <col min="2567" max="2567" width="6" style="1030" bestFit="1" customWidth="1"/>
    <col min="2568" max="2568" width="11.375" style="1030" customWidth="1"/>
    <col min="2569" max="2569" width="12.75" style="1030" bestFit="1" customWidth="1"/>
    <col min="2570" max="2570" width="12.25" style="1030" bestFit="1" customWidth="1"/>
    <col min="2571" max="2571" width="16.125" style="1030" customWidth="1"/>
    <col min="2572" max="2572" width="13.375" style="1030" bestFit="1" customWidth="1"/>
    <col min="2573" max="2573" width="12.125" style="1030" customWidth="1"/>
    <col min="2574" max="2574" width="13.375" style="1030" bestFit="1" customWidth="1"/>
    <col min="2575" max="2816" width="8.875" style="1030"/>
    <col min="2817" max="2817" width="5" style="1030" bestFit="1" customWidth="1"/>
    <col min="2818" max="2818" width="3" style="1030" bestFit="1" customWidth="1"/>
    <col min="2819" max="2819" width="42.375" style="1030" customWidth="1"/>
    <col min="2820" max="2820" width="7.625" style="1030" bestFit="1" customWidth="1"/>
    <col min="2821" max="2822" width="0" style="1030" hidden="1" customWidth="1"/>
    <col min="2823" max="2823" width="6" style="1030" bestFit="1" customWidth="1"/>
    <col min="2824" max="2824" width="11.375" style="1030" customWidth="1"/>
    <col min="2825" max="2825" width="12.75" style="1030" bestFit="1" customWidth="1"/>
    <col min="2826" max="2826" width="12.25" style="1030" bestFit="1" customWidth="1"/>
    <col min="2827" max="2827" width="16.125" style="1030" customWidth="1"/>
    <col min="2828" max="2828" width="13.375" style="1030" bestFit="1" customWidth="1"/>
    <col min="2829" max="2829" width="12.125" style="1030" customWidth="1"/>
    <col min="2830" max="2830" width="13.375" style="1030" bestFit="1" customWidth="1"/>
    <col min="2831" max="3072" width="8.875" style="1030"/>
    <col min="3073" max="3073" width="5" style="1030" bestFit="1" customWidth="1"/>
    <col min="3074" max="3074" width="3" style="1030" bestFit="1" customWidth="1"/>
    <col min="3075" max="3075" width="42.375" style="1030" customWidth="1"/>
    <col min="3076" max="3076" width="7.625" style="1030" bestFit="1" customWidth="1"/>
    <col min="3077" max="3078" width="0" style="1030" hidden="1" customWidth="1"/>
    <col min="3079" max="3079" width="6" style="1030" bestFit="1" customWidth="1"/>
    <col min="3080" max="3080" width="11.375" style="1030" customWidth="1"/>
    <col min="3081" max="3081" width="12.75" style="1030" bestFit="1" customWidth="1"/>
    <col min="3082" max="3082" width="12.25" style="1030" bestFit="1" customWidth="1"/>
    <col min="3083" max="3083" width="16.125" style="1030" customWidth="1"/>
    <col min="3084" max="3084" width="13.375" style="1030" bestFit="1" customWidth="1"/>
    <col min="3085" max="3085" width="12.125" style="1030" customWidth="1"/>
    <col min="3086" max="3086" width="13.375" style="1030" bestFit="1" customWidth="1"/>
    <col min="3087" max="3328" width="8.875" style="1030"/>
    <col min="3329" max="3329" width="5" style="1030" bestFit="1" customWidth="1"/>
    <col min="3330" max="3330" width="3" style="1030" bestFit="1" customWidth="1"/>
    <col min="3331" max="3331" width="42.375" style="1030" customWidth="1"/>
    <col min="3332" max="3332" width="7.625" style="1030" bestFit="1" customWidth="1"/>
    <col min="3333" max="3334" width="0" style="1030" hidden="1" customWidth="1"/>
    <col min="3335" max="3335" width="6" style="1030" bestFit="1" customWidth="1"/>
    <col min="3336" max="3336" width="11.375" style="1030" customWidth="1"/>
    <col min="3337" max="3337" width="12.75" style="1030" bestFit="1" customWidth="1"/>
    <col min="3338" max="3338" width="12.25" style="1030" bestFit="1" customWidth="1"/>
    <col min="3339" max="3339" width="16.125" style="1030" customWidth="1"/>
    <col min="3340" max="3340" width="13.375" style="1030" bestFit="1" customWidth="1"/>
    <col min="3341" max="3341" width="12.125" style="1030" customWidth="1"/>
    <col min="3342" max="3342" width="13.375" style="1030" bestFit="1" customWidth="1"/>
    <col min="3343" max="3584" width="8.875" style="1030"/>
    <col min="3585" max="3585" width="5" style="1030" bestFit="1" customWidth="1"/>
    <col min="3586" max="3586" width="3" style="1030" bestFit="1" customWidth="1"/>
    <col min="3587" max="3587" width="42.375" style="1030" customWidth="1"/>
    <col min="3588" max="3588" width="7.625" style="1030" bestFit="1" customWidth="1"/>
    <col min="3589" max="3590" width="0" style="1030" hidden="1" customWidth="1"/>
    <col min="3591" max="3591" width="6" style="1030" bestFit="1" customWidth="1"/>
    <col min="3592" max="3592" width="11.375" style="1030" customWidth="1"/>
    <col min="3593" max="3593" width="12.75" style="1030" bestFit="1" customWidth="1"/>
    <col min="3594" max="3594" width="12.25" style="1030" bestFit="1" customWidth="1"/>
    <col min="3595" max="3595" width="16.125" style="1030" customWidth="1"/>
    <col min="3596" max="3596" width="13.375" style="1030" bestFit="1" customWidth="1"/>
    <col min="3597" max="3597" width="12.125" style="1030" customWidth="1"/>
    <col min="3598" max="3598" width="13.375" style="1030" bestFit="1" customWidth="1"/>
    <col min="3599" max="3840" width="8.875" style="1030"/>
    <col min="3841" max="3841" width="5" style="1030" bestFit="1" customWidth="1"/>
    <col min="3842" max="3842" width="3" style="1030" bestFit="1" customWidth="1"/>
    <col min="3843" max="3843" width="42.375" style="1030" customWidth="1"/>
    <col min="3844" max="3844" width="7.625" style="1030" bestFit="1" customWidth="1"/>
    <col min="3845" max="3846" width="0" style="1030" hidden="1" customWidth="1"/>
    <col min="3847" max="3847" width="6" style="1030" bestFit="1" customWidth="1"/>
    <col min="3848" max="3848" width="11.375" style="1030" customWidth="1"/>
    <col min="3849" max="3849" width="12.75" style="1030" bestFit="1" customWidth="1"/>
    <col min="3850" max="3850" width="12.25" style="1030" bestFit="1" customWidth="1"/>
    <col min="3851" max="3851" width="16.125" style="1030" customWidth="1"/>
    <col min="3852" max="3852" width="13.375" style="1030" bestFit="1" customWidth="1"/>
    <col min="3853" max="3853" width="12.125" style="1030" customWidth="1"/>
    <col min="3854" max="3854" width="13.375" style="1030" bestFit="1" customWidth="1"/>
    <col min="3855" max="4096" width="8.875" style="1030"/>
    <col min="4097" max="4097" width="5" style="1030" bestFit="1" customWidth="1"/>
    <col min="4098" max="4098" width="3" style="1030" bestFit="1" customWidth="1"/>
    <col min="4099" max="4099" width="42.375" style="1030" customWidth="1"/>
    <col min="4100" max="4100" width="7.625" style="1030" bestFit="1" customWidth="1"/>
    <col min="4101" max="4102" width="0" style="1030" hidden="1" customWidth="1"/>
    <col min="4103" max="4103" width="6" style="1030" bestFit="1" customWidth="1"/>
    <col min="4104" max="4104" width="11.375" style="1030" customWidth="1"/>
    <col min="4105" max="4105" width="12.75" style="1030" bestFit="1" customWidth="1"/>
    <col min="4106" max="4106" width="12.25" style="1030" bestFit="1" customWidth="1"/>
    <col min="4107" max="4107" width="16.125" style="1030" customWidth="1"/>
    <col min="4108" max="4108" width="13.375" style="1030" bestFit="1" customWidth="1"/>
    <col min="4109" max="4109" width="12.125" style="1030" customWidth="1"/>
    <col min="4110" max="4110" width="13.375" style="1030" bestFit="1" customWidth="1"/>
    <col min="4111" max="4352" width="8.875" style="1030"/>
    <col min="4353" max="4353" width="5" style="1030" bestFit="1" customWidth="1"/>
    <col min="4354" max="4354" width="3" style="1030" bestFit="1" customWidth="1"/>
    <col min="4355" max="4355" width="42.375" style="1030" customWidth="1"/>
    <col min="4356" max="4356" width="7.625" style="1030" bestFit="1" customWidth="1"/>
    <col min="4357" max="4358" width="0" style="1030" hidden="1" customWidth="1"/>
    <col min="4359" max="4359" width="6" style="1030" bestFit="1" customWidth="1"/>
    <col min="4360" max="4360" width="11.375" style="1030" customWidth="1"/>
    <col min="4361" max="4361" width="12.75" style="1030" bestFit="1" customWidth="1"/>
    <col min="4362" max="4362" width="12.25" style="1030" bestFit="1" customWidth="1"/>
    <col min="4363" max="4363" width="16.125" style="1030" customWidth="1"/>
    <col min="4364" max="4364" width="13.375" style="1030" bestFit="1" customWidth="1"/>
    <col min="4365" max="4365" width="12.125" style="1030" customWidth="1"/>
    <col min="4366" max="4366" width="13.375" style="1030" bestFit="1" customWidth="1"/>
    <col min="4367" max="4608" width="8.875" style="1030"/>
    <col min="4609" max="4609" width="5" style="1030" bestFit="1" customWidth="1"/>
    <col min="4610" max="4610" width="3" style="1030" bestFit="1" customWidth="1"/>
    <col min="4611" max="4611" width="42.375" style="1030" customWidth="1"/>
    <col min="4612" max="4612" width="7.625" style="1030" bestFit="1" customWidth="1"/>
    <col min="4613" max="4614" width="0" style="1030" hidden="1" customWidth="1"/>
    <col min="4615" max="4615" width="6" style="1030" bestFit="1" customWidth="1"/>
    <col min="4616" max="4616" width="11.375" style="1030" customWidth="1"/>
    <col min="4617" max="4617" width="12.75" style="1030" bestFit="1" customWidth="1"/>
    <col min="4618" max="4618" width="12.25" style="1030" bestFit="1" customWidth="1"/>
    <col min="4619" max="4619" width="16.125" style="1030" customWidth="1"/>
    <col min="4620" max="4620" width="13.375" style="1030" bestFit="1" customWidth="1"/>
    <col min="4621" max="4621" width="12.125" style="1030" customWidth="1"/>
    <col min="4622" max="4622" width="13.375" style="1030" bestFit="1" customWidth="1"/>
    <col min="4623" max="4864" width="8.875" style="1030"/>
    <col min="4865" max="4865" width="5" style="1030" bestFit="1" customWidth="1"/>
    <col min="4866" max="4866" width="3" style="1030" bestFit="1" customWidth="1"/>
    <col min="4867" max="4867" width="42.375" style="1030" customWidth="1"/>
    <col min="4868" max="4868" width="7.625" style="1030" bestFit="1" customWidth="1"/>
    <col min="4869" max="4870" width="0" style="1030" hidden="1" customWidth="1"/>
    <col min="4871" max="4871" width="6" style="1030" bestFit="1" customWidth="1"/>
    <col min="4872" max="4872" width="11.375" style="1030" customWidth="1"/>
    <col min="4873" max="4873" width="12.75" style="1030" bestFit="1" customWidth="1"/>
    <col min="4874" max="4874" width="12.25" style="1030" bestFit="1" customWidth="1"/>
    <col min="4875" max="4875" width="16.125" style="1030" customWidth="1"/>
    <col min="4876" max="4876" width="13.375" style="1030" bestFit="1" customWidth="1"/>
    <col min="4877" max="4877" width="12.125" style="1030" customWidth="1"/>
    <col min="4878" max="4878" width="13.375" style="1030" bestFit="1" customWidth="1"/>
    <col min="4879" max="5120" width="8.875" style="1030"/>
    <col min="5121" max="5121" width="5" style="1030" bestFit="1" customWidth="1"/>
    <col min="5122" max="5122" width="3" style="1030" bestFit="1" customWidth="1"/>
    <col min="5123" max="5123" width="42.375" style="1030" customWidth="1"/>
    <col min="5124" max="5124" width="7.625" style="1030" bestFit="1" customWidth="1"/>
    <col min="5125" max="5126" width="0" style="1030" hidden="1" customWidth="1"/>
    <col min="5127" max="5127" width="6" style="1030" bestFit="1" customWidth="1"/>
    <col min="5128" max="5128" width="11.375" style="1030" customWidth="1"/>
    <col min="5129" max="5129" width="12.75" style="1030" bestFit="1" customWidth="1"/>
    <col min="5130" max="5130" width="12.25" style="1030" bestFit="1" customWidth="1"/>
    <col min="5131" max="5131" width="16.125" style="1030" customWidth="1"/>
    <col min="5132" max="5132" width="13.375" style="1030" bestFit="1" customWidth="1"/>
    <col min="5133" max="5133" width="12.125" style="1030" customWidth="1"/>
    <col min="5134" max="5134" width="13.375" style="1030" bestFit="1" customWidth="1"/>
    <col min="5135" max="5376" width="8.875" style="1030"/>
    <col min="5377" max="5377" width="5" style="1030" bestFit="1" customWidth="1"/>
    <col min="5378" max="5378" width="3" style="1030" bestFit="1" customWidth="1"/>
    <col min="5379" max="5379" width="42.375" style="1030" customWidth="1"/>
    <col min="5380" max="5380" width="7.625" style="1030" bestFit="1" customWidth="1"/>
    <col min="5381" max="5382" width="0" style="1030" hidden="1" customWidth="1"/>
    <col min="5383" max="5383" width="6" style="1030" bestFit="1" customWidth="1"/>
    <col min="5384" max="5384" width="11.375" style="1030" customWidth="1"/>
    <col min="5385" max="5385" width="12.75" style="1030" bestFit="1" customWidth="1"/>
    <col min="5386" max="5386" width="12.25" style="1030" bestFit="1" customWidth="1"/>
    <col min="5387" max="5387" width="16.125" style="1030" customWidth="1"/>
    <col min="5388" max="5388" width="13.375" style="1030" bestFit="1" customWidth="1"/>
    <col min="5389" max="5389" width="12.125" style="1030" customWidth="1"/>
    <col min="5390" max="5390" width="13.375" style="1030" bestFit="1" customWidth="1"/>
    <col min="5391" max="5632" width="8.875" style="1030"/>
    <col min="5633" max="5633" width="5" style="1030" bestFit="1" customWidth="1"/>
    <col min="5634" max="5634" width="3" style="1030" bestFit="1" customWidth="1"/>
    <col min="5635" max="5635" width="42.375" style="1030" customWidth="1"/>
    <col min="5636" max="5636" width="7.625" style="1030" bestFit="1" customWidth="1"/>
    <col min="5637" max="5638" width="0" style="1030" hidden="1" customWidth="1"/>
    <col min="5639" max="5639" width="6" style="1030" bestFit="1" customWidth="1"/>
    <col min="5640" max="5640" width="11.375" style="1030" customWidth="1"/>
    <col min="5641" max="5641" width="12.75" style="1030" bestFit="1" customWidth="1"/>
    <col min="5642" max="5642" width="12.25" style="1030" bestFit="1" customWidth="1"/>
    <col min="5643" max="5643" width="16.125" style="1030" customWidth="1"/>
    <col min="5644" max="5644" width="13.375" style="1030" bestFit="1" customWidth="1"/>
    <col min="5645" max="5645" width="12.125" style="1030" customWidth="1"/>
    <col min="5646" max="5646" width="13.375" style="1030" bestFit="1" customWidth="1"/>
    <col min="5647" max="5888" width="8.875" style="1030"/>
    <col min="5889" max="5889" width="5" style="1030" bestFit="1" customWidth="1"/>
    <col min="5890" max="5890" width="3" style="1030" bestFit="1" customWidth="1"/>
    <col min="5891" max="5891" width="42.375" style="1030" customWidth="1"/>
    <col min="5892" max="5892" width="7.625" style="1030" bestFit="1" customWidth="1"/>
    <col min="5893" max="5894" width="0" style="1030" hidden="1" customWidth="1"/>
    <col min="5895" max="5895" width="6" style="1030" bestFit="1" customWidth="1"/>
    <col min="5896" max="5896" width="11.375" style="1030" customWidth="1"/>
    <col min="5897" max="5897" width="12.75" style="1030" bestFit="1" customWidth="1"/>
    <col min="5898" max="5898" width="12.25" style="1030" bestFit="1" customWidth="1"/>
    <col min="5899" max="5899" width="16.125" style="1030" customWidth="1"/>
    <col min="5900" max="5900" width="13.375" style="1030" bestFit="1" customWidth="1"/>
    <col min="5901" max="5901" width="12.125" style="1030" customWidth="1"/>
    <col min="5902" max="5902" width="13.375" style="1030" bestFit="1" customWidth="1"/>
    <col min="5903" max="6144" width="8.875" style="1030"/>
    <col min="6145" max="6145" width="5" style="1030" bestFit="1" customWidth="1"/>
    <col min="6146" max="6146" width="3" style="1030" bestFit="1" customWidth="1"/>
    <col min="6147" max="6147" width="42.375" style="1030" customWidth="1"/>
    <col min="6148" max="6148" width="7.625" style="1030" bestFit="1" customWidth="1"/>
    <col min="6149" max="6150" width="0" style="1030" hidden="1" customWidth="1"/>
    <col min="6151" max="6151" width="6" style="1030" bestFit="1" customWidth="1"/>
    <col min="6152" max="6152" width="11.375" style="1030" customWidth="1"/>
    <col min="6153" max="6153" width="12.75" style="1030" bestFit="1" customWidth="1"/>
    <col min="6154" max="6154" width="12.25" style="1030" bestFit="1" customWidth="1"/>
    <col min="6155" max="6155" width="16.125" style="1030" customWidth="1"/>
    <col min="6156" max="6156" width="13.375" style="1030" bestFit="1" customWidth="1"/>
    <col min="6157" max="6157" width="12.125" style="1030" customWidth="1"/>
    <col min="6158" max="6158" width="13.375" style="1030" bestFit="1" customWidth="1"/>
    <col min="6159" max="6400" width="8.875" style="1030"/>
    <col min="6401" max="6401" width="5" style="1030" bestFit="1" customWidth="1"/>
    <col min="6402" max="6402" width="3" style="1030" bestFit="1" customWidth="1"/>
    <col min="6403" max="6403" width="42.375" style="1030" customWidth="1"/>
    <col min="6404" max="6404" width="7.625" style="1030" bestFit="1" customWidth="1"/>
    <col min="6405" max="6406" width="0" style="1030" hidden="1" customWidth="1"/>
    <col min="6407" max="6407" width="6" style="1030" bestFit="1" customWidth="1"/>
    <col min="6408" max="6408" width="11.375" style="1030" customWidth="1"/>
    <col min="6409" max="6409" width="12.75" style="1030" bestFit="1" customWidth="1"/>
    <col min="6410" max="6410" width="12.25" style="1030" bestFit="1" customWidth="1"/>
    <col min="6411" max="6411" width="16.125" style="1030" customWidth="1"/>
    <col min="6412" max="6412" width="13.375" style="1030" bestFit="1" customWidth="1"/>
    <col min="6413" max="6413" width="12.125" style="1030" customWidth="1"/>
    <col min="6414" max="6414" width="13.375" style="1030" bestFit="1" customWidth="1"/>
    <col min="6415" max="6656" width="8.875" style="1030"/>
    <col min="6657" max="6657" width="5" style="1030" bestFit="1" customWidth="1"/>
    <col min="6658" max="6658" width="3" style="1030" bestFit="1" customWidth="1"/>
    <col min="6659" max="6659" width="42.375" style="1030" customWidth="1"/>
    <col min="6660" max="6660" width="7.625" style="1030" bestFit="1" customWidth="1"/>
    <col min="6661" max="6662" width="0" style="1030" hidden="1" customWidth="1"/>
    <col min="6663" max="6663" width="6" style="1030" bestFit="1" customWidth="1"/>
    <col min="6664" max="6664" width="11.375" style="1030" customWidth="1"/>
    <col min="6665" max="6665" width="12.75" style="1030" bestFit="1" customWidth="1"/>
    <col min="6666" max="6666" width="12.25" style="1030" bestFit="1" customWidth="1"/>
    <col min="6667" max="6667" width="16.125" style="1030" customWidth="1"/>
    <col min="6668" max="6668" width="13.375" style="1030" bestFit="1" customWidth="1"/>
    <col min="6669" max="6669" width="12.125" style="1030" customWidth="1"/>
    <col min="6670" max="6670" width="13.375" style="1030" bestFit="1" customWidth="1"/>
    <col min="6671" max="6912" width="8.875" style="1030"/>
    <col min="6913" max="6913" width="5" style="1030" bestFit="1" customWidth="1"/>
    <col min="6914" max="6914" width="3" style="1030" bestFit="1" customWidth="1"/>
    <col min="6915" max="6915" width="42.375" style="1030" customWidth="1"/>
    <col min="6916" max="6916" width="7.625" style="1030" bestFit="1" customWidth="1"/>
    <col min="6917" max="6918" width="0" style="1030" hidden="1" customWidth="1"/>
    <col min="6919" max="6919" width="6" style="1030" bestFit="1" customWidth="1"/>
    <col min="6920" max="6920" width="11.375" style="1030" customWidth="1"/>
    <col min="6921" max="6921" width="12.75" style="1030" bestFit="1" customWidth="1"/>
    <col min="6922" max="6922" width="12.25" style="1030" bestFit="1" customWidth="1"/>
    <col min="6923" max="6923" width="16.125" style="1030" customWidth="1"/>
    <col min="6924" max="6924" width="13.375" style="1030" bestFit="1" customWidth="1"/>
    <col min="6925" max="6925" width="12.125" style="1030" customWidth="1"/>
    <col min="6926" max="6926" width="13.375" style="1030" bestFit="1" customWidth="1"/>
    <col min="6927" max="7168" width="8.875" style="1030"/>
    <col min="7169" max="7169" width="5" style="1030" bestFit="1" customWidth="1"/>
    <col min="7170" max="7170" width="3" style="1030" bestFit="1" customWidth="1"/>
    <col min="7171" max="7171" width="42.375" style="1030" customWidth="1"/>
    <col min="7172" max="7172" width="7.625" style="1030" bestFit="1" customWidth="1"/>
    <col min="7173" max="7174" width="0" style="1030" hidden="1" customWidth="1"/>
    <col min="7175" max="7175" width="6" style="1030" bestFit="1" customWidth="1"/>
    <col min="7176" max="7176" width="11.375" style="1030" customWidth="1"/>
    <col min="7177" max="7177" width="12.75" style="1030" bestFit="1" customWidth="1"/>
    <col min="7178" max="7178" width="12.25" style="1030" bestFit="1" customWidth="1"/>
    <col min="7179" max="7179" width="16.125" style="1030" customWidth="1"/>
    <col min="7180" max="7180" width="13.375" style="1030" bestFit="1" customWidth="1"/>
    <col min="7181" max="7181" width="12.125" style="1030" customWidth="1"/>
    <col min="7182" max="7182" width="13.375" style="1030" bestFit="1" customWidth="1"/>
    <col min="7183" max="7424" width="8.875" style="1030"/>
    <col min="7425" max="7425" width="5" style="1030" bestFit="1" customWidth="1"/>
    <col min="7426" max="7426" width="3" style="1030" bestFit="1" customWidth="1"/>
    <col min="7427" max="7427" width="42.375" style="1030" customWidth="1"/>
    <col min="7428" max="7428" width="7.625" style="1030" bestFit="1" customWidth="1"/>
    <col min="7429" max="7430" width="0" style="1030" hidden="1" customWidth="1"/>
    <col min="7431" max="7431" width="6" style="1030" bestFit="1" customWidth="1"/>
    <col min="7432" max="7432" width="11.375" style="1030" customWidth="1"/>
    <col min="7433" max="7433" width="12.75" style="1030" bestFit="1" customWidth="1"/>
    <col min="7434" max="7434" width="12.25" style="1030" bestFit="1" customWidth="1"/>
    <col min="7435" max="7435" width="16.125" style="1030" customWidth="1"/>
    <col min="7436" max="7436" width="13.375" style="1030" bestFit="1" customWidth="1"/>
    <col min="7437" max="7437" width="12.125" style="1030" customWidth="1"/>
    <col min="7438" max="7438" width="13.375" style="1030" bestFit="1" customWidth="1"/>
    <col min="7439" max="7680" width="8.875" style="1030"/>
    <col min="7681" max="7681" width="5" style="1030" bestFit="1" customWidth="1"/>
    <col min="7682" max="7682" width="3" style="1030" bestFit="1" customWidth="1"/>
    <col min="7683" max="7683" width="42.375" style="1030" customWidth="1"/>
    <col min="7684" max="7684" width="7.625" style="1030" bestFit="1" customWidth="1"/>
    <col min="7685" max="7686" width="0" style="1030" hidden="1" customWidth="1"/>
    <col min="7687" max="7687" width="6" style="1030" bestFit="1" customWidth="1"/>
    <col min="7688" max="7688" width="11.375" style="1030" customWidth="1"/>
    <col min="7689" max="7689" width="12.75" style="1030" bestFit="1" customWidth="1"/>
    <col min="7690" max="7690" width="12.25" style="1030" bestFit="1" customWidth="1"/>
    <col min="7691" max="7691" width="16.125" style="1030" customWidth="1"/>
    <col min="7692" max="7692" width="13.375" style="1030" bestFit="1" customWidth="1"/>
    <col min="7693" max="7693" width="12.125" style="1030" customWidth="1"/>
    <col min="7694" max="7694" width="13.375" style="1030" bestFit="1" customWidth="1"/>
    <col min="7695" max="7936" width="8.875" style="1030"/>
    <col min="7937" max="7937" width="5" style="1030" bestFit="1" customWidth="1"/>
    <col min="7938" max="7938" width="3" style="1030" bestFit="1" customWidth="1"/>
    <col min="7939" max="7939" width="42.375" style="1030" customWidth="1"/>
    <col min="7940" max="7940" width="7.625" style="1030" bestFit="1" customWidth="1"/>
    <col min="7941" max="7942" width="0" style="1030" hidden="1" customWidth="1"/>
    <col min="7943" max="7943" width="6" style="1030" bestFit="1" customWidth="1"/>
    <col min="7944" max="7944" width="11.375" style="1030" customWidth="1"/>
    <col min="7945" max="7945" width="12.75" style="1030" bestFit="1" customWidth="1"/>
    <col min="7946" max="7946" width="12.25" style="1030" bestFit="1" customWidth="1"/>
    <col min="7947" max="7947" width="16.125" style="1030" customWidth="1"/>
    <col min="7948" max="7948" width="13.375" style="1030" bestFit="1" customWidth="1"/>
    <col min="7949" max="7949" width="12.125" style="1030" customWidth="1"/>
    <col min="7950" max="7950" width="13.375" style="1030" bestFit="1" customWidth="1"/>
    <col min="7951" max="8192" width="8.875" style="1030"/>
    <col min="8193" max="8193" width="5" style="1030" bestFit="1" customWidth="1"/>
    <col min="8194" max="8194" width="3" style="1030" bestFit="1" customWidth="1"/>
    <col min="8195" max="8195" width="42.375" style="1030" customWidth="1"/>
    <col min="8196" max="8196" width="7.625" style="1030" bestFit="1" customWidth="1"/>
    <col min="8197" max="8198" width="0" style="1030" hidden="1" customWidth="1"/>
    <col min="8199" max="8199" width="6" style="1030" bestFit="1" customWidth="1"/>
    <col min="8200" max="8200" width="11.375" style="1030" customWidth="1"/>
    <col min="8201" max="8201" width="12.75" style="1030" bestFit="1" customWidth="1"/>
    <col min="8202" max="8202" width="12.25" style="1030" bestFit="1" customWidth="1"/>
    <col min="8203" max="8203" width="16.125" style="1030" customWidth="1"/>
    <col min="8204" max="8204" width="13.375" style="1030" bestFit="1" customWidth="1"/>
    <col min="8205" max="8205" width="12.125" style="1030" customWidth="1"/>
    <col min="8206" max="8206" width="13.375" style="1030" bestFit="1" customWidth="1"/>
    <col min="8207" max="8448" width="8.875" style="1030"/>
    <col min="8449" max="8449" width="5" style="1030" bestFit="1" customWidth="1"/>
    <col min="8450" max="8450" width="3" style="1030" bestFit="1" customWidth="1"/>
    <col min="8451" max="8451" width="42.375" style="1030" customWidth="1"/>
    <col min="8452" max="8452" width="7.625" style="1030" bestFit="1" customWidth="1"/>
    <col min="8453" max="8454" width="0" style="1030" hidden="1" customWidth="1"/>
    <col min="8455" max="8455" width="6" style="1030" bestFit="1" customWidth="1"/>
    <col min="8456" max="8456" width="11.375" style="1030" customWidth="1"/>
    <col min="8457" max="8457" width="12.75" style="1030" bestFit="1" customWidth="1"/>
    <col min="8458" max="8458" width="12.25" style="1030" bestFit="1" customWidth="1"/>
    <col min="8459" max="8459" width="16.125" style="1030" customWidth="1"/>
    <col min="8460" max="8460" width="13.375" style="1030" bestFit="1" customWidth="1"/>
    <col min="8461" max="8461" width="12.125" style="1030" customWidth="1"/>
    <col min="8462" max="8462" width="13.375" style="1030" bestFit="1" customWidth="1"/>
    <col min="8463" max="8704" width="8.875" style="1030"/>
    <col min="8705" max="8705" width="5" style="1030" bestFit="1" customWidth="1"/>
    <col min="8706" max="8706" width="3" style="1030" bestFit="1" customWidth="1"/>
    <col min="8707" max="8707" width="42.375" style="1030" customWidth="1"/>
    <col min="8708" max="8708" width="7.625" style="1030" bestFit="1" customWidth="1"/>
    <col min="8709" max="8710" width="0" style="1030" hidden="1" customWidth="1"/>
    <col min="8711" max="8711" width="6" style="1030" bestFit="1" customWidth="1"/>
    <col min="8712" max="8712" width="11.375" style="1030" customWidth="1"/>
    <col min="8713" max="8713" width="12.75" style="1030" bestFit="1" customWidth="1"/>
    <col min="8714" max="8714" width="12.25" style="1030" bestFit="1" customWidth="1"/>
    <col min="8715" max="8715" width="16.125" style="1030" customWidth="1"/>
    <col min="8716" max="8716" width="13.375" style="1030" bestFit="1" customWidth="1"/>
    <col min="8717" max="8717" width="12.125" style="1030" customWidth="1"/>
    <col min="8718" max="8718" width="13.375" style="1030" bestFit="1" customWidth="1"/>
    <col min="8719" max="8960" width="8.875" style="1030"/>
    <col min="8961" max="8961" width="5" style="1030" bestFit="1" customWidth="1"/>
    <col min="8962" max="8962" width="3" style="1030" bestFit="1" customWidth="1"/>
    <col min="8963" max="8963" width="42.375" style="1030" customWidth="1"/>
    <col min="8964" max="8964" width="7.625" style="1030" bestFit="1" customWidth="1"/>
    <col min="8965" max="8966" width="0" style="1030" hidden="1" customWidth="1"/>
    <col min="8967" max="8967" width="6" style="1030" bestFit="1" customWidth="1"/>
    <col min="8968" max="8968" width="11.375" style="1030" customWidth="1"/>
    <col min="8969" max="8969" width="12.75" style="1030" bestFit="1" customWidth="1"/>
    <col min="8970" max="8970" width="12.25" style="1030" bestFit="1" customWidth="1"/>
    <col min="8971" max="8971" width="16.125" style="1030" customWidth="1"/>
    <col min="8972" max="8972" width="13.375" style="1030" bestFit="1" customWidth="1"/>
    <col min="8973" max="8973" width="12.125" style="1030" customWidth="1"/>
    <col min="8974" max="8974" width="13.375" style="1030" bestFit="1" customWidth="1"/>
    <col min="8975" max="9216" width="8.875" style="1030"/>
    <col min="9217" max="9217" width="5" style="1030" bestFit="1" customWidth="1"/>
    <col min="9218" max="9218" width="3" style="1030" bestFit="1" customWidth="1"/>
    <col min="9219" max="9219" width="42.375" style="1030" customWidth="1"/>
    <col min="9220" max="9220" width="7.625" style="1030" bestFit="1" customWidth="1"/>
    <col min="9221" max="9222" width="0" style="1030" hidden="1" customWidth="1"/>
    <col min="9223" max="9223" width="6" style="1030" bestFit="1" customWidth="1"/>
    <col min="9224" max="9224" width="11.375" style="1030" customWidth="1"/>
    <col min="9225" max="9225" width="12.75" style="1030" bestFit="1" customWidth="1"/>
    <col min="9226" max="9226" width="12.25" style="1030" bestFit="1" customWidth="1"/>
    <col min="9227" max="9227" width="16.125" style="1030" customWidth="1"/>
    <col min="9228" max="9228" width="13.375" style="1030" bestFit="1" customWidth="1"/>
    <col min="9229" max="9229" width="12.125" style="1030" customWidth="1"/>
    <col min="9230" max="9230" width="13.375" style="1030" bestFit="1" customWidth="1"/>
    <col min="9231" max="9472" width="8.875" style="1030"/>
    <col min="9473" max="9473" width="5" style="1030" bestFit="1" customWidth="1"/>
    <col min="9474" max="9474" width="3" style="1030" bestFit="1" customWidth="1"/>
    <col min="9475" max="9475" width="42.375" style="1030" customWidth="1"/>
    <col min="9476" max="9476" width="7.625" style="1030" bestFit="1" customWidth="1"/>
    <col min="9477" max="9478" width="0" style="1030" hidden="1" customWidth="1"/>
    <col min="9479" max="9479" width="6" style="1030" bestFit="1" customWidth="1"/>
    <col min="9480" max="9480" width="11.375" style="1030" customWidth="1"/>
    <col min="9481" max="9481" width="12.75" style="1030" bestFit="1" customWidth="1"/>
    <col min="9482" max="9482" width="12.25" style="1030" bestFit="1" customWidth="1"/>
    <col min="9483" max="9483" width="16.125" style="1030" customWidth="1"/>
    <col min="9484" max="9484" width="13.375" style="1030" bestFit="1" customWidth="1"/>
    <col min="9485" max="9485" width="12.125" style="1030" customWidth="1"/>
    <col min="9486" max="9486" width="13.375" style="1030" bestFit="1" customWidth="1"/>
    <col min="9487" max="9728" width="8.875" style="1030"/>
    <col min="9729" max="9729" width="5" style="1030" bestFit="1" customWidth="1"/>
    <col min="9730" max="9730" width="3" style="1030" bestFit="1" customWidth="1"/>
    <col min="9731" max="9731" width="42.375" style="1030" customWidth="1"/>
    <col min="9732" max="9732" width="7.625" style="1030" bestFit="1" customWidth="1"/>
    <col min="9733" max="9734" width="0" style="1030" hidden="1" customWidth="1"/>
    <col min="9735" max="9735" width="6" style="1030" bestFit="1" customWidth="1"/>
    <col min="9736" max="9736" width="11.375" style="1030" customWidth="1"/>
    <col min="9737" max="9737" width="12.75" style="1030" bestFit="1" customWidth="1"/>
    <col min="9738" max="9738" width="12.25" style="1030" bestFit="1" customWidth="1"/>
    <col min="9739" max="9739" width="16.125" style="1030" customWidth="1"/>
    <col min="9740" max="9740" width="13.375" style="1030" bestFit="1" customWidth="1"/>
    <col min="9741" max="9741" width="12.125" style="1030" customWidth="1"/>
    <col min="9742" max="9742" width="13.375" style="1030" bestFit="1" customWidth="1"/>
    <col min="9743" max="9984" width="8.875" style="1030"/>
    <col min="9985" max="9985" width="5" style="1030" bestFit="1" customWidth="1"/>
    <col min="9986" max="9986" width="3" style="1030" bestFit="1" customWidth="1"/>
    <col min="9987" max="9987" width="42.375" style="1030" customWidth="1"/>
    <col min="9988" max="9988" width="7.625" style="1030" bestFit="1" customWidth="1"/>
    <col min="9989" max="9990" width="0" style="1030" hidden="1" customWidth="1"/>
    <col min="9991" max="9991" width="6" style="1030" bestFit="1" customWidth="1"/>
    <col min="9992" max="9992" width="11.375" style="1030" customWidth="1"/>
    <col min="9993" max="9993" width="12.75" style="1030" bestFit="1" customWidth="1"/>
    <col min="9994" max="9994" width="12.25" style="1030" bestFit="1" customWidth="1"/>
    <col min="9995" max="9995" width="16.125" style="1030" customWidth="1"/>
    <col min="9996" max="9996" width="13.375" style="1030" bestFit="1" customWidth="1"/>
    <col min="9997" max="9997" width="12.125" style="1030" customWidth="1"/>
    <col min="9998" max="9998" width="13.375" style="1030" bestFit="1" customWidth="1"/>
    <col min="9999" max="10240" width="8.875" style="1030"/>
    <col min="10241" max="10241" width="5" style="1030" bestFit="1" customWidth="1"/>
    <col min="10242" max="10242" width="3" style="1030" bestFit="1" customWidth="1"/>
    <col min="10243" max="10243" width="42.375" style="1030" customWidth="1"/>
    <col min="10244" max="10244" width="7.625" style="1030" bestFit="1" customWidth="1"/>
    <col min="10245" max="10246" width="0" style="1030" hidden="1" customWidth="1"/>
    <col min="10247" max="10247" width="6" style="1030" bestFit="1" customWidth="1"/>
    <col min="10248" max="10248" width="11.375" style="1030" customWidth="1"/>
    <col min="10249" max="10249" width="12.75" style="1030" bestFit="1" customWidth="1"/>
    <col min="10250" max="10250" width="12.25" style="1030" bestFit="1" customWidth="1"/>
    <col min="10251" max="10251" width="16.125" style="1030" customWidth="1"/>
    <col min="10252" max="10252" width="13.375" style="1030" bestFit="1" customWidth="1"/>
    <col min="10253" max="10253" width="12.125" style="1030" customWidth="1"/>
    <col min="10254" max="10254" width="13.375" style="1030" bestFit="1" customWidth="1"/>
    <col min="10255" max="10496" width="8.875" style="1030"/>
    <col min="10497" max="10497" width="5" style="1030" bestFit="1" customWidth="1"/>
    <col min="10498" max="10498" width="3" style="1030" bestFit="1" customWidth="1"/>
    <col min="10499" max="10499" width="42.375" style="1030" customWidth="1"/>
    <col min="10500" max="10500" width="7.625" style="1030" bestFit="1" customWidth="1"/>
    <col min="10501" max="10502" width="0" style="1030" hidden="1" customWidth="1"/>
    <col min="10503" max="10503" width="6" style="1030" bestFit="1" customWidth="1"/>
    <col min="10504" max="10504" width="11.375" style="1030" customWidth="1"/>
    <col min="10505" max="10505" width="12.75" style="1030" bestFit="1" customWidth="1"/>
    <col min="10506" max="10506" width="12.25" style="1030" bestFit="1" customWidth="1"/>
    <col min="10507" max="10507" width="16.125" style="1030" customWidth="1"/>
    <col min="10508" max="10508" width="13.375" style="1030" bestFit="1" customWidth="1"/>
    <col min="10509" max="10509" width="12.125" style="1030" customWidth="1"/>
    <col min="10510" max="10510" width="13.375" style="1030" bestFit="1" customWidth="1"/>
    <col min="10511" max="10752" width="8.875" style="1030"/>
    <col min="10753" max="10753" width="5" style="1030" bestFit="1" customWidth="1"/>
    <col min="10754" max="10754" width="3" style="1030" bestFit="1" customWidth="1"/>
    <col min="10755" max="10755" width="42.375" style="1030" customWidth="1"/>
    <col min="10756" max="10756" width="7.625" style="1030" bestFit="1" customWidth="1"/>
    <col min="10757" max="10758" width="0" style="1030" hidden="1" customWidth="1"/>
    <col min="10759" max="10759" width="6" style="1030" bestFit="1" customWidth="1"/>
    <col min="10760" max="10760" width="11.375" style="1030" customWidth="1"/>
    <col min="10761" max="10761" width="12.75" style="1030" bestFit="1" customWidth="1"/>
    <col min="10762" max="10762" width="12.25" style="1030" bestFit="1" customWidth="1"/>
    <col min="10763" max="10763" width="16.125" style="1030" customWidth="1"/>
    <col min="10764" max="10764" width="13.375" style="1030" bestFit="1" customWidth="1"/>
    <col min="10765" max="10765" width="12.125" style="1030" customWidth="1"/>
    <col min="10766" max="10766" width="13.375" style="1030" bestFit="1" customWidth="1"/>
    <col min="10767" max="11008" width="8.875" style="1030"/>
    <col min="11009" max="11009" width="5" style="1030" bestFit="1" customWidth="1"/>
    <col min="11010" max="11010" width="3" style="1030" bestFit="1" customWidth="1"/>
    <col min="11011" max="11011" width="42.375" style="1030" customWidth="1"/>
    <col min="11012" max="11012" width="7.625" style="1030" bestFit="1" customWidth="1"/>
    <col min="11013" max="11014" width="0" style="1030" hidden="1" customWidth="1"/>
    <col min="11015" max="11015" width="6" style="1030" bestFit="1" customWidth="1"/>
    <col min="11016" max="11016" width="11.375" style="1030" customWidth="1"/>
    <col min="11017" max="11017" width="12.75" style="1030" bestFit="1" customWidth="1"/>
    <col min="11018" max="11018" width="12.25" style="1030" bestFit="1" customWidth="1"/>
    <col min="11019" max="11019" width="16.125" style="1030" customWidth="1"/>
    <col min="11020" max="11020" width="13.375" style="1030" bestFit="1" customWidth="1"/>
    <col min="11021" max="11021" width="12.125" style="1030" customWidth="1"/>
    <col min="11022" max="11022" width="13.375" style="1030" bestFit="1" customWidth="1"/>
    <col min="11023" max="11264" width="8.875" style="1030"/>
    <col min="11265" max="11265" width="5" style="1030" bestFit="1" customWidth="1"/>
    <col min="11266" max="11266" width="3" style="1030" bestFit="1" customWidth="1"/>
    <col min="11267" max="11267" width="42.375" style="1030" customWidth="1"/>
    <col min="11268" max="11268" width="7.625" style="1030" bestFit="1" customWidth="1"/>
    <col min="11269" max="11270" width="0" style="1030" hidden="1" customWidth="1"/>
    <col min="11271" max="11271" width="6" style="1030" bestFit="1" customWidth="1"/>
    <col min="11272" max="11272" width="11.375" style="1030" customWidth="1"/>
    <col min="11273" max="11273" width="12.75" style="1030" bestFit="1" customWidth="1"/>
    <col min="11274" max="11274" width="12.25" style="1030" bestFit="1" customWidth="1"/>
    <col min="11275" max="11275" width="16.125" style="1030" customWidth="1"/>
    <col min="11276" max="11276" width="13.375" style="1030" bestFit="1" customWidth="1"/>
    <col min="11277" max="11277" width="12.125" style="1030" customWidth="1"/>
    <col min="11278" max="11278" width="13.375" style="1030" bestFit="1" customWidth="1"/>
    <col min="11279" max="11520" width="8.875" style="1030"/>
    <col min="11521" max="11521" width="5" style="1030" bestFit="1" customWidth="1"/>
    <col min="11522" max="11522" width="3" style="1030" bestFit="1" customWidth="1"/>
    <col min="11523" max="11523" width="42.375" style="1030" customWidth="1"/>
    <col min="11524" max="11524" width="7.625" style="1030" bestFit="1" customWidth="1"/>
    <col min="11525" max="11526" width="0" style="1030" hidden="1" customWidth="1"/>
    <col min="11527" max="11527" width="6" style="1030" bestFit="1" customWidth="1"/>
    <col min="11528" max="11528" width="11.375" style="1030" customWidth="1"/>
    <col min="11529" max="11529" width="12.75" style="1030" bestFit="1" customWidth="1"/>
    <col min="11530" max="11530" width="12.25" style="1030" bestFit="1" customWidth="1"/>
    <col min="11531" max="11531" width="16.125" style="1030" customWidth="1"/>
    <col min="11532" max="11532" width="13.375" style="1030" bestFit="1" customWidth="1"/>
    <col min="11533" max="11533" width="12.125" style="1030" customWidth="1"/>
    <col min="11534" max="11534" width="13.375" style="1030" bestFit="1" customWidth="1"/>
    <col min="11535" max="11776" width="8.875" style="1030"/>
    <col min="11777" max="11777" width="5" style="1030" bestFit="1" customWidth="1"/>
    <col min="11778" max="11778" width="3" style="1030" bestFit="1" customWidth="1"/>
    <col min="11779" max="11779" width="42.375" style="1030" customWidth="1"/>
    <col min="11780" max="11780" width="7.625" style="1030" bestFit="1" customWidth="1"/>
    <col min="11781" max="11782" width="0" style="1030" hidden="1" customWidth="1"/>
    <col min="11783" max="11783" width="6" style="1030" bestFit="1" customWidth="1"/>
    <col min="11784" max="11784" width="11.375" style="1030" customWidth="1"/>
    <col min="11785" max="11785" width="12.75" style="1030" bestFit="1" customWidth="1"/>
    <col min="11786" max="11786" width="12.25" style="1030" bestFit="1" customWidth="1"/>
    <col min="11787" max="11787" width="16.125" style="1030" customWidth="1"/>
    <col min="11788" max="11788" width="13.375" style="1030" bestFit="1" customWidth="1"/>
    <col min="11789" max="11789" width="12.125" style="1030" customWidth="1"/>
    <col min="11790" max="11790" width="13.375" style="1030" bestFit="1" customWidth="1"/>
    <col min="11791" max="12032" width="8.875" style="1030"/>
    <col min="12033" max="12033" width="5" style="1030" bestFit="1" customWidth="1"/>
    <col min="12034" max="12034" width="3" style="1030" bestFit="1" customWidth="1"/>
    <col min="12035" max="12035" width="42.375" style="1030" customWidth="1"/>
    <col min="12036" max="12036" width="7.625" style="1030" bestFit="1" customWidth="1"/>
    <col min="12037" max="12038" width="0" style="1030" hidden="1" customWidth="1"/>
    <col min="12039" max="12039" width="6" style="1030" bestFit="1" customWidth="1"/>
    <col min="12040" max="12040" width="11.375" style="1030" customWidth="1"/>
    <col min="12041" max="12041" width="12.75" style="1030" bestFit="1" customWidth="1"/>
    <col min="12042" max="12042" width="12.25" style="1030" bestFit="1" customWidth="1"/>
    <col min="12043" max="12043" width="16.125" style="1030" customWidth="1"/>
    <col min="12044" max="12044" width="13.375" style="1030" bestFit="1" customWidth="1"/>
    <col min="12045" max="12045" width="12.125" style="1030" customWidth="1"/>
    <col min="12046" max="12046" width="13.375" style="1030" bestFit="1" customWidth="1"/>
    <col min="12047" max="12288" width="8.875" style="1030"/>
    <col min="12289" max="12289" width="5" style="1030" bestFit="1" customWidth="1"/>
    <col min="12290" max="12290" width="3" style="1030" bestFit="1" customWidth="1"/>
    <col min="12291" max="12291" width="42.375" style="1030" customWidth="1"/>
    <col min="12292" max="12292" width="7.625" style="1030" bestFit="1" customWidth="1"/>
    <col min="12293" max="12294" width="0" style="1030" hidden="1" customWidth="1"/>
    <col min="12295" max="12295" width="6" style="1030" bestFit="1" customWidth="1"/>
    <col min="12296" max="12296" width="11.375" style="1030" customWidth="1"/>
    <col min="12297" max="12297" width="12.75" style="1030" bestFit="1" customWidth="1"/>
    <col min="12298" max="12298" width="12.25" style="1030" bestFit="1" customWidth="1"/>
    <col min="12299" max="12299" width="16.125" style="1030" customWidth="1"/>
    <col min="12300" max="12300" width="13.375" style="1030" bestFit="1" customWidth="1"/>
    <col min="12301" max="12301" width="12.125" style="1030" customWidth="1"/>
    <col min="12302" max="12302" width="13.375" style="1030" bestFit="1" customWidth="1"/>
    <col min="12303" max="12544" width="8.875" style="1030"/>
    <col min="12545" max="12545" width="5" style="1030" bestFit="1" customWidth="1"/>
    <col min="12546" max="12546" width="3" style="1030" bestFit="1" customWidth="1"/>
    <col min="12547" max="12547" width="42.375" style="1030" customWidth="1"/>
    <col min="12548" max="12548" width="7.625" style="1030" bestFit="1" customWidth="1"/>
    <col min="12549" max="12550" width="0" style="1030" hidden="1" customWidth="1"/>
    <col min="12551" max="12551" width="6" style="1030" bestFit="1" customWidth="1"/>
    <col min="12552" max="12552" width="11.375" style="1030" customWidth="1"/>
    <col min="12553" max="12553" width="12.75" style="1030" bestFit="1" customWidth="1"/>
    <col min="12554" max="12554" width="12.25" style="1030" bestFit="1" customWidth="1"/>
    <col min="12555" max="12555" width="16.125" style="1030" customWidth="1"/>
    <col min="12556" max="12556" width="13.375" style="1030" bestFit="1" customWidth="1"/>
    <col min="12557" max="12557" width="12.125" style="1030" customWidth="1"/>
    <col min="12558" max="12558" width="13.375" style="1030" bestFit="1" customWidth="1"/>
    <col min="12559" max="12800" width="8.875" style="1030"/>
    <col min="12801" max="12801" width="5" style="1030" bestFit="1" customWidth="1"/>
    <col min="12802" max="12802" width="3" style="1030" bestFit="1" customWidth="1"/>
    <col min="12803" max="12803" width="42.375" style="1030" customWidth="1"/>
    <col min="12804" max="12804" width="7.625" style="1030" bestFit="1" customWidth="1"/>
    <col min="12805" max="12806" width="0" style="1030" hidden="1" customWidth="1"/>
    <col min="12807" max="12807" width="6" style="1030" bestFit="1" customWidth="1"/>
    <col min="12808" max="12808" width="11.375" style="1030" customWidth="1"/>
    <col min="12809" max="12809" width="12.75" style="1030" bestFit="1" customWidth="1"/>
    <col min="12810" max="12810" width="12.25" style="1030" bestFit="1" customWidth="1"/>
    <col min="12811" max="12811" width="16.125" style="1030" customWidth="1"/>
    <col min="12812" max="12812" width="13.375" style="1030" bestFit="1" customWidth="1"/>
    <col min="12813" max="12813" width="12.125" style="1030" customWidth="1"/>
    <col min="12814" max="12814" width="13.375" style="1030" bestFit="1" customWidth="1"/>
    <col min="12815" max="13056" width="8.875" style="1030"/>
    <col min="13057" max="13057" width="5" style="1030" bestFit="1" customWidth="1"/>
    <col min="13058" max="13058" width="3" style="1030" bestFit="1" customWidth="1"/>
    <col min="13059" max="13059" width="42.375" style="1030" customWidth="1"/>
    <col min="13060" max="13060" width="7.625" style="1030" bestFit="1" customWidth="1"/>
    <col min="13061" max="13062" width="0" style="1030" hidden="1" customWidth="1"/>
    <col min="13063" max="13063" width="6" style="1030" bestFit="1" customWidth="1"/>
    <col min="13064" max="13064" width="11.375" style="1030" customWidth="1"/>
    <col min="13065" max="13065" width="12.75" style="1030" bestFit="1" customWidth="1"/>
    <col min="13066" max="13066" width="12.25" style="1030" bestFit="1" customWidth="1"/>
    <col min="13067" max="13067" width="16.125" style="1030" customWidth="1"/>
    <col min="13068" max="13068" width="13.375" style="1030" bestFit="1" customWidth="1"/>
    <col min="13069" max="13069" width="12.125" style="1030" customWidth="1"/>
    <col min="13070" max="13070" width="13.375" style="1030" bestFit="1" customWidth="1"/>
    <col min="13071" max="13312" width="8.875" style="1030"/>
    <col min="13313" max="13313" width="5" style="1030" bestFit="1" customWidth="1"/>
    <col min="13314" max="13314" width="3" style="1030" bestFit="1" customWidth="1"/>
    <col min="13315" max="13315" width="42.375" style="1030" customWidth="1"/>
    <col min="13316" max="13316" width="7.625" style="1030" bestFit="1" customWidth="1"/>
    <col min="13317" max="13318" width="0" style="1030" hidden="1" customWidth="1"/>
    <col min="13319" max="13319" width="6" style="1030" bestFit="1" customWidth="1"/>
    <col min="13320" max="13320" width="11.375" style="1030" customWidth="1"/>
    <col min="13321" max="13321" width="12.75" style="1030" bestFit="1" customWidth="1"/>
    <col min="13322" max="13322" width="12.25" style="1030" bestFit="1" customWidth="1"/>
    <col min="13323" max="13323" width="16.125" style="1030" customWidth="1"/>
    <col min="13324" max="13324" width="13.375" style="1030" bestFit="1" customWidth="1"/>
    <col min="13325" max="13325" width="12.125" style="1030" customWidth="1"/>
    <col min="13326" max="13326" width="13.375" style="1030" bestFit="1" customWidth="1"/>
    <col min="13327" max="13568" width="8.875" style="1030"/>
    <col min="13569" max="13569" width="5" style="1030" bestFit="1" customWidth="1"/>
    <col min="13570" max="13570" width="3" style="1030" bestFit="1" customWidth="1"/>
    <col min="13571" max="13571" width="42.375" style="1030" customWidth="1"/>
    <col min="13572" max="13572" width="7.625" style="1030" bestFit="1" customWidth="1"/>
    <col min="13573" max="13574" width="0" style="1030" hidden="1" customWidth="1"/>
    <col min="13575" max="13575" width="6" style="1030" bestFit="1" customWidth="1"/>
    <col min="13576" max="13576" width="11.375" style="1030" customWidth="1"/>
    <col min="13577" max="13577" width="12.75" style="1030" bestFit="1" customWidth="1"/>
    <col min="13578" max="13578" width="12.25" style="1030" bestFit="1" customWidth="1"/>
    <col min="13579" max="13579" width="16.125" style="1030" customWidth="1"/>
    <col min="13580" max="13580" width="13.375" style="1030" bestFit="1" customWidth="1"/>
    <col min="13581" max="13581" width="12.125" style="1030" customWidth="1"/>
    <col min="13582" max="13582" width="13.375" style="1030" bestFit="1" customWidth="1"/>
    <col min="13583" max="13824" width="8.875" style="1030"/>
    <col min="13825" max="13825" width="5" style="1030" bestFit="1" customWidth="1"/>
    <col min="13826" max="13826" width="3" style="1030" bestFit="1" customWidth="1"/>
    <col min="13827" max="13827" width="42.375" style="1030" customWidth="1"/>
    <col min="13828" max="13828" width="7.625" style="1030" bestFit="1" customWidth="1"/>
    <col min="13829" max="13830" width="0" style="1030" hidden="1" customWidth="1"/>
    <col min="13831" max="13831" width="6" style="1030" bestFit="1" customWidth="1"/>
    <col min="13832" max="13832" width="11.375" style="1030" customWidth="1"/>
    <col min="13833" max="13833" width="12.75" style="1030" bestFit="1" customWidth="1"/>
    <col min="13834" max="13834" width="12.25" style="1030" bestFit="1" customWidth="1"/>
    <col min="13835" max="13835" width="16.125" style="1030" customWidth="1"/>
    <col min="13836" max="13836" width="13.375" style="1030" bestFit="1" customWidth="1"/>
    <col min="13837" max="13837" width="12.125" style="1030" customWidth="1"/>
    <col min="13838" max="13838" width="13.375" style="1030" bestFit="1" customWidth="1"/>
    <col min="13839" max="14080" width="8.875" style="1030"/>
    <col min="14081" max="14081" width="5" style="1030" bestFit="1" customWidth="1"/>
    <col min="14082" max="14082" width="3" style="1030" bestFit="1" customWidth="1"/>
    <col min="14083" max="14083" width="42.375" style="1030" customWidth="1"/>
    <col min="14084" max="14084" width="7.625" style="1030" bestFit="1" customWidth="1"/>
    <col min="14085" max="14086" width="0" style="1030" hidden="1" customWidth="1"/>
    <col min="14087" max="14087" width="6" style="1030" bestFit="1" customWidth="1"/>
    <col min="14088" max="14088" width="11.375" style="1030" customWidth="1"/>
    <col min="14089" max="14089" width="12.75" style="1030" bestFit="1" customWidth="1"/>
    <col min="14090" max="14090" width="12.25" style="1030" bestFit="1" customWidth="1"/>
    <col min="14091" max="14091" width="16.125" style="1030" customWidth="1"/>
    <col min="14092" max="14092" width="13.375" style="1030" bestFit="1" customWidth="1"/>
    <col min="14093" max="14093" width="12.125" style="1030" customWidth="1"/>
    <col min="14094" max="14094" width="13.375" style="1030" bestFit="1" customWidth="1"/>
    <col min="14095" max="14336" width="8.875" style="1030"/>
    <col min="14337" max="14337" width="5" style="1030" bestFit="1" customWidth="1"/>
    <col min="14338" max="14338" width="3" style="1030" bestFit="1" customWidth="1"/>
    <col min="14339" max="14339" width="42.375" style="1030" customWidth="1"/>
    <col min="14340" max="14340" width="7.625" style="1030" bestFit="1" customWidth="1"/>
    <col min="14341" max="14342" width="0" style="1030" hidden="1" customWidth="1"/>
    <col min="14343" max="14343" width="6" style="1030" bestFit="1" customWidth="1"/>
    <col min="14344" max="14344" width="11.375" style="1030" customWidth="1"/>
    <col min="14345" max="14345" width="12.75" style="1030" bestFit="1" customWidth="1"/>
    <col min="14346" max="14346" width="12.25" style="1030" bestFit="1" customWidth="1"/>
    <col min="14347" max="14347" width="16.125" style="1030" customWidth="1"/>
    <col min="14348" max="14348" width="13.375" style="1030" bestFit="1" customWidth="1"/>
    <col min="14349" max="14349" width="12.125" style="1030" customWidth="1"/>
    <col min="14350" max="14350" width="13.375" style="1030" bestFit="1" customWidth="1"/>
    <col min="14351" max="14592" width="8.875" style="1030"/>
    <col min="14593" max="14593" width="5" style="1030" bestFit="1" customWidth="1"/>
    <col min="14594" max="14594" width="3" style="1030" bestFit="1" customWidth="1"/>
    <col min="14595" max="14595" width="42.375" style="1030" customWidth="1"/>
    <col min="14596" max="14596" width="7.625" style="1030" bestFit="1" customWidth="1"/>
    <col min="14597" max="14598" width="0" style="1030" hidden="1" customWidth="1"/>
    <col min="14599" max="14599" width="6" style="1030" bestFit="1" customWidth="1"/>
    <col min="14600" max="14600" width="11.375" style="1030" customWidth="1"/>
    <col min="14601" max="14601" width="12.75" style="1030" bestFit="1" customWidth="1"/>
    <col min="14602" max="14602" width="12.25" style="1030" bestFit="1" customWidth="1"/>
    <col min="14603" max="14603" width="16.125" style="1030" customWidth="1"/>
    <col min="14604" max="14604" width="13.375" style="1030" bestFit="1" customWidth="1"/>
    <col min="14605" max="14605" width="12.125" style="1030" customWidth="1"/>
    <col min="14606" max="14606" width="13.375" style="1030" bestFit="1" customWidth="1"/>
    <col min="14607" max="14848" width="8.875" style="1030"/>
    <col min="14849" max="14849" width="5" style="1030" bestFit="1" customWidth="1"/>
    <col min="14850" max="14850" width="3" style="1030" bestFit="1" customWidth="1"/>
    <col min="14851" max="14851" width="42.375" style="1030" customWidth="1"/>
    <col min="14852" max="14852" width="7.625" style="1030" bestFit="1" customWidth="1"/>
    <col min="14853" max="14854" width="0" style="1030" hidden="1" customWidth="1"/>
    <col min="14855" max="14855" width="6" style="1030" bestFit="1" customWidth="1"/>
    <col min="14856" max="14856" width="11.375" style="1030" customWidth="1"/>
    <col min="14857" max="14857" width="12.75" style="1030" bestFit="1" customWidth="1"/>
    <col min="14858" max="14858" width="12.25" style="1030" bestFit="1" customWidth="1"/>
    <col min="14859" max="14859" width="16.125" style="1030" customWidth="1"/>
    <col min="14860" max="14860" width="13.375" style="1030" bestFit="1" customWidth="1"/>
    <col min="14861" max="14861" width="12.125" style="1030" customWidth="1"/>
    <col min="14862" max="14862" width="13.375" style="1030" bestFit="1" customWidth="1"/>
    <col min="14863" max="15104" width="8.875" style="1030"/>
    <col min="15105" max="15105" width="5" style="1030" bestFit="1" customWidth="1"/>
    <col min="15106" max="15106" width="3" style="1030" bestFit="1" customWidth="1"/>
    <col min="15107" max="15107" width="42.375" style="1030" customWidth="1"/>
    <col min="15108" max="15108" width="7.625" style="1030" bestFit="1" customWidth="1"/>
    <col min="15109" max="15110" width="0" style="1030" hidden="1" customWidth="1"/>
    <col min="15111" max="15111" width="6" style="1030" bestFit="1" customWidth="1"/>
    <col min="15112" max="15112" width="11.375" style="1030" customWidth="1"/>
    <col min="15113" max="15113" width="12.75" style="1030" bestFit="1" customWidth="1"/>
    <col min="15114" max="15114" width="12.25" style="1030" bestFit="1" customWidth="1"/>
    <col min="15115" max="15115" width="16.125" style="1030" customWidth="1"/>
    <col min="15116" max="15116" width="13.375" style="1030" bestFit="1" customWidth="1"/>
    <col min="15117" max="15117" width="12.125" style="1030" customWidth="1"/>
    <col min="15118" max="15118" width="13.375" style="1030" bestFit="1" customWidth="1"/>
    <col min="15119" max="15360" width="8.875" style="1030"/>
    <col min="15361" max="15361" width="5" style="1030" bestFit="1" customWidth="1"/>
    <col min="15362" max="15362" width="3" style="1030" bestFit="1" customWidth="1"/>
    <col min="15363" max="15363" width="42.375" style="1030" customWidth="1"/>
    <col min="15364" max="15364" width="7.625" style="1030" bestFit="1" customWidth="1"/>
    <col min="15365" max="15366" width="0" style="1030" hidden="1" customWidth="1"/>
    <col min="15367" max="15367" width="6" style="1030" bestFit="1" customWidth="1"/>
    <col min="15368" max="15368" width="11.375" style="1030" customWidth="1"/>
    <col min="15369" max="15369" width="12.75" style="1030" bestFit="1" customWidth="1"/>
    <col min="15370" max="15370" width="12.25" style="1030" bestFit="1" customWidth="1"/>
    <col min="15371" max="15371" width="16.125" style="1030" customWidth="1"/>
    <col min="15372" max="15372" width="13.375" style="1030" bestFit="1" customWidth="1"/>
    <col min="15373" max="15373" width="12.125" style="1030" customWidth="1"/>
    <col min="15374" max="15374" width="13.375" style="1030" bestFit="1" customWidth="1"/>
    <col min="15375" max="15616" width="8.875" style="1030"/>
    <col min="15617" max="15617" width="5" style="1030" bestFit="1" customWidth="1"/>
    <col min="15618" max="15618" width="3" style="1030" bestFit="1" customWidth="1"/>
    <col min="15619" max="15619" width="42.375" style="1030" customWidth="1"/>
    <col min="15620" max="15620" width="7.625" style="1030" bestFit="1" customWidth="1"/>
    <col min="15621" max="15622" width="0" style="1030" hidden="1" customWidth="1"/>
    <col min="15623" max="15623" width="6" style="1030" bestFit="1" customWidth="1"/>
    <col min="15624" max="15624" width="11.375" style="1030" customWidth="1"/>
    <col min="15625" max="15625" width="12.75" style="1030" bestFit="1" customWidth="1"/>
    <col min="15626" max="15626" width="12.25" style="1030" bestFit="1" customWidth="1"/>
    <col min="15627" max="15627" width="16.125" style="1030" customWidth="1"/>
    <col min="15628" max="15628" width="13.375" style="1030" bestFit="1" customWidth="1"/>
    <col min="15629" max="15629" width="12.125" style="1030" customWidth="1"/>
    <col min="15630" max="15630" width="13.375" style="1030" bestFit="1" customWidth="1"/>
    <col min="15631" max="15872" width="8.875" style="1030"/>
    <col min="15873" max="15873" width="5" style="1030" bestFit="1" customWidth="1"/>
    <col min="15874" max="15874" width="3" style="1030" bestFit="1" customWidth="1"/>
    <col min="15875" max="15875" width="42.375" style="1030" customWidth="1"/>
    <col min="15876" max="15876" width="7.625" style="1030" bestFit="1" customWidth="1"/>
    <col min="15877" max="15878" width="0" style="1030" hidden="1" customWidth="1"/>
    <col min="15879" max="15879" width="6" style="1030" bestFit="1" customWidth="1"/>
    <col min="15880" max="15880" width="11.375" style="1030" customWidth="1"/>
    <col min="15881" max="15881" width="12.75" style="1030" bestFit="1" customWidth="1"/>
    <col min="15882" max="15882" width="12.25" style="1030" bestFit="1" customWidth="1"/>
    <col min="15883" max="15883" width="16.125" style="1030" customWidth="1"/>
    <col min="15884" max="15884" width="13.375" style="1030" bestFit="1" customWidth="1"/>
    <col min="15885" max="15885" width="12.125" style="1030" customWidth="1"/>
    <col min="15886" max="15886" width="13.375" style="1030" bestFit="1" customWidth="1"/>
    <col min="15887" max="16128" width="8.875" style="1030"/>
    <col min="16129" max="16129" width="5" style="1030" bestFit="1" customWidth="1"/>
    <col min="16130" max="16130" width="3" style="1030" bestFit="1" customWidth="1"/>
    <col min="16131" max="16131" width="42.375" style="1030" customWidth="1"/>
    <col min="16132" max="16132" width="7.625" style="1030" bestFit="1" customWidth="1"/>
    <col min="16133" max="16134" width="0" style="1030" hidden="1" customWidth="1"/>
    <col min="16135" max="16135" width="6" style="1030" bestFit="1" customWidth="1"/>
    <col min="16136" max="16136" width="11.375" style="1030" customWidth="1"/>
    <col min="16137" max="16137" width="12.75" style="1030" bestFit="1" customWidth="1"/>
    <col min="16138" max="16138" width="12.25" style="1030" bestFit="1" customWidth="1"/>
    <col min="16139" max="16139" width="16.125" style="1030" customWidth="1"/>
    <col min="16140" max="16140" width="13.375" style="1030" bestFit="1" customWidth="1"/>
    <col min="16141" max="16141" width="12.125" style="1030" customWidth="1"/>
    <col min="16142" max="16142" width="13.375" style="1030" bestFit="1" customWidth="1"/>
    <col min="16143" max="16384" width="8.875" style="1030"/>
  </cols>
  <sheetData>
    <row r="1" spans="1:15" ht="14.25">
      <c r="A1" s="1908" t="s">
        <v>793</v>
      </c>
      <c r="B1" s="1908"/>
      <c r="C1" s="1908"/>
      <c r="D1" s="1908"/>
      <c r="E1" s="1908"/>
      <c r="F1" s="1908"/>
      <c r="G1" s="1908"/>
      <c r="H1" s="1908"/>
      <c r="I1" s="1908"/>
      <c r="J1" s="1908"/>
      <c r="K1" s="1908"/>
      <c r="L1" s="1908"/>
      <c r="M1" s="1908"/>
      <c r="N1" s="1908"/>
    </row>
    <row r="2" spans="1:15" ht="15">
      <c r="A2" s="1909" t="s">
        <v>769</v>
      </c>
      <c r="B2" s="1909"/>
      <c r="C2" s="1909"/>
      <c r="D2" s="1909"/>
      <c r="E2" s="1909"/>
      <c r="F2" s="1909"/>
      <c r="G2" s="1909"/>
      <c r="H2" s="1909"/>
      <c r="I2" s="1909"/>
      <c r="J2" s="1909"/>
      <c r="K2" s="1909"/>
      <c r="L2" s="1909"/>
      <c r="M2" s="1909"/>
      <c r="N2" s="1909"/>
    </row>
    <row r="3" spans="1:15" ht="15.75" thickBot="1">
      <c r="A3" s="1037"/>
      <c r="B3" s="1037"/>
      <c r="C3" s="1037"/>
      <c r="D3" s="1037"/>
      <c r="E3" s="1037"/>
      <c r="F3" s="1037"/>
      <c r="G3" s="1038"/>
      <c r="H3" s="1119"/>
      <c r="I3" s="1039"/>
      <c r="J3" s="1125"/>
      <c r="K3" s="1125"/>
      <c r="L3" s="1125"/>
      <c r="M3" s="1914" t="s">
        <v>760</v>
      </c>
      <c r="N3" s="1914"/>
    </row>
    <row r="4" spans="1:15" ht="60">
      <c r="A4" s="1081" t="s">
        <v>9</v>
      </c>
      <c r="B4" s="1915" t="s">
        <v>109</v>
      </c>
      <c r="C4" s="1916"/>
      <c r="D4" s="1082" t="s">
        <v>20</v>
      </c>
      <c r="E4" s="1083" t="s">
        <v>7</v>
      </c>
      <c r="F4" s="1083" t="s">
        <v>761</v>
      </c>
      <c r="G4" s="1084" t="s">
        <v>762</v>
      </c>
      <c r="H4" s="1084" t="s">
        <v>100</v>
      </c>
      <c r="I4" s="1085" t="s">
        <v>763</v>
      </c>
      <c r="J4" s="1126" t="s">
        <v>764</v>
      </c>
      <c r="K4" s="1126" t="s">
        <v>765</v>
      </c>
      <c r="L4" s="1126" t="s">
        <v>766</v>
      </c>
      <c r="M4" s="1126" t="s">
        <v>767</v>
      </c>
      <c r="N4" s="1127" t="s">
        <v>768</v>
      </c>
    </row>
    <row r="5" spans="1:15" ht="21.75" customHeight="1">
      <c r="A5" s="1086">
        <v>1</v>
      </c>
      <c r="B5" s="1917" t="s">
        <v>126</v>
      </c>
      <c r="C5" s="1917"/>
      <c r="D5" s="1087" t="s">
        <v>1</v>
      </c>
      <c r="E5" s="1088" t="s">
        <v>118</v>
      </c>
      <c r="F5" s="1089" t="s">
        <v>770</v>
      </c>
      <c r="G5" s="1090">
        <f>'Data_tinh thu'!D11</f>
        <v>8000</v>
      </c>
      <c r="H5" s="1090">
        <f>'[1]TONG DON GIA SP'!$J$6</f>
        <v>702.84256162792826</v>
      </c>
      <c r="I5" s="1452">
        <f>G5*H5</f>
        <v>5622740.4930234263</v>
      </c>
      <c r="J5" s="1128">
        <f>I5*15%</f>
        <v>843411.07395351387</v>
      </c>
      <c r="K5" s="1128">
        <f>I5*4%</f>
        <v>224909.61972093704</v>
      </c>
      <c r="L5" s="1128">
        <f>SUM(I5:K5)</f>
        <v>6691061.186697877</v>
      </c>
      <c r="M5" s="1128">
        <f>L5*10%</f>
        <v>669106.11866978777</v>
      </c>
      <c r="N5" s="1129">
        <f t="shared" ref="N5:N10" si="0">SUM(L5:M5)</f>
        <v>7360167.3053676644</v>
      </c>
    </row>
    <row r="6" spans="1:15" ht="15">
      <c r="A6" s="1091">
        <v>2</v>
      </c>
      <c r="B6" s="1912" t="s">
        <v>125</v>
      </c>
      <c r="C6" s="1913"/>
      <c r="D6" s="1087" t="s">
        <v>1</v>
      </c>
      <c r="E6" s="1092"/>
      <c r="F6" s="1093"/>
      <c r="G6" s="1090">
        <f>'Data_tinh thu'!D12</f>
        <v>8000</v>
      </c>
      <c r="H6" s="1090">
        <f>'[1]TONG DON GIA SP'!$J$7</f>
        <v>4109.3585662680944</v>
      </c>
      <c r="I6" s="1452">
        <f>G6*H6</f>
        <v>32874868.530144755</v>
      </c>
      <c r="J6" s="1128">
        <f>I6*15%</f>
        <v>4931230.279521713</v>
      </c>
      <c r="K6" s="1128">
        <f>I6*4%</f>
        <v>1314994.7412057903</v>
      </c>
      <c r="L6" s="1128">
        <f>SUM(I6:K6)</f>
        <v>39121093.550872259</v>
      </c>
      <c r="M6" s="1128">
        <f>L6*10%</f>
        <v>3912109.3550872263</v>
      </c>
      <c r="N6" s="1129">
        <f t="shared" si="0"/>
        <v>43033202.905959487</v>
      </c>
    </row>
    <row r="7" spans="1:15" ht="15">
      <c r="A7" s="1094">
        <v>3</v>
      </c>
      <c r="B7" s="1918" t="s">
        <v>771</v>
      </c>
      <c r="C7" s="1919"/>
      <c r="D7" s="1087" t="s">
        <v>1</v>
      </c>
      <c r="E7" s="1095"/>
      <c r="F7" s="1096">
        <v>3</v>
      </c>
      <c r="G7" s="1090">
        <f>G5</f>
        <v>8000</v>
      </c>
      <c r="H7" s="1090">
        <f>'[1]TONG DON GIA SP'!$J$8</f>
        <v>7335.9526575392465</v>
      </c>
      <c r="I7" s="1452">
        <f>G7*H7</f>
        <v>58687621.260313973</v>
      </c>
      <c r="J7" s="1128">
        <f>I7*15%</f>
        <v>8803143.1890470963</v>
      </c>
      <c r="K7" s="1128">
        <f>I7*4%</f>
        <v>2347504.8504125588</v>
      </c>
      <c r="L7" s="1128">
        <f>SUM(I7:K7)</f>
        <v>69838269.299773633</v>
      </c>
      <c r="M7" s="1128">
        <f>L7*10%</f>
        <v>6983826.9299773639</v>
      </c>
      <c r="N7" s="1129">
        <f t="shared" si="0"/>
        <v>76822096.229750991</v>
      </c>
    </row>
    <row r="8" spans="1:15" ht="15">
      <c r="A8" s="1097">
        <v>4</v>
      </c>
      <c r="B8" s="1920" t="s">
        <v>772</v>
      </c>
      <c r="C8" s="1921"/>
      <c r="D8" s="1090"/>
      <c r="E8" s="1090"/>
      <c r="F8" s="1090"/>
      <c r="G8" s="1090"/>
      <c r="H8" s="1090"/>
      <c r="I8" s="1130">
        <f>SUM(I9:I10)</f>
        <v>56855679.067419596</v>
      </c>
      <c r="J8" s="1130">
        <f>SUM(J9:J10)</f>
        <v>8528351.860112939</v>
      </c>
      <c r="K8" s="1130">
        <f>SUM(K9:K10)</f>
        <v>2274227.1626967839</v>
      </c>
      <c r="L8" s="1130">
        <f>SUM(L9:L10)</f>
        <v>67658258.090229318</v>
      </c>
      <c r="M8" s="1130">
        <f>SUM(M9:M10)</f>
        <v>6765825.8090229323</v>
      </c>
      <c r="N8" s="1130">
        <f t="shared" si="0"/>
        <v>74424083.899252251</v>
      </c>
    </row>
    <row r="9" spans="1:15" ht="20.25" customHeight="1">
      <c r="A9" s="1036"/>
      <c r="B9" s="1922" t="s">
        <v>772</v>
      </c>
      <c r="C9" s="1923"/>
      <c r="D9" s="1098" t="s">
        <v>1</v>
      </c>
      <c r="E9" s="1090"/>
      <c r="F9" s="1090" t="s">
        <v>770</v>
      </c>
      <c r="G9" s="1090">
        <f>G5</f>
        <v>8000</v>
      </c>
      <c r="H9" s="1090">
        <f>'[1]TONG DON GIA SP'!$J$9</f>
        <v>7106.9598834274493</v>
      </c>
      <c r="I9" s="1090">
        <f>G9*H9</f>
        <v>56855679.067419596</v>
      </c>
      <c r="J9" s="1090">
        <f>I9*15%</f>
        <v>8528351.860112939</v>
      </c>
      <c r="K9" s="1090">
        <f>I9*4%</f>
        <v>2274227.1626967839</v>
      </c>
      <c r="L9" s="1090">
        <f>SUM(I9:K9)</f>
        <v>67658258.090229318</v>
      </c>
      <c r="M9" s="1090">
        <f>L9*10%</f>
        <v>6765825.8090229323</v>
      </c>
      <c r="N9" s="1131">
        <f t="shared" si="0"/>
        <v>74424083.899252251</v>
      </c>
    </row>
    <row r="10" spans="1:15" ht="23.25" customHeight="1">
      <c r="A10" s="1036"/>
      <c r="B10" s="1924" t="s">
        <v>773</v>
      </c>
      <c r="C10" s="1925"/>
      <c r="D10" s="1098" t="s">
        <v>774</v>
      </c>
      <c r="E10" s="1090"/>
      <c r="F10" s="1090"/>
      <c r="G10" s="1090"/>
      <c r="H10" s="1090"/>
      <c r="I10" s="1090"/>
      <c r="J10" s="1090">
        <f>I10*15%</f>
        <v>0</v>
      </c>
      <c r="K10" s="1090">
        <f>I10*4%</f>
        <v>0</v>
      </c>
      <c r="L10" s="1090">
        <f>SUM(I10:K10)</f>
        <v>0</v>
      </c>
      <c r="M10" s="1090">
        <f>L10*10%</f>
        <v>0</v>
      </c>
      <c r="N10" s="1131">
        <f t="shared" si="0"/>
        <v>0</v>
      </c>
    </row>
    <row r="11" spans="1:15" ht="15">
      <c r="A11" s="1099">
        <v>5</v>
      </c>
      <c r="B11" s="1920" t="s">
        <v>775</v>
      </c>
      <c r="C11" s="1921"/>
      <c r="D11" s="1087" t="s">
        <v>1</v>
      </c>
      <c r="E11" s="1100"/>
      <c r="F11" s="1101"/>
      <c r="G11" s="1102"/>
      <c r="H11" s="1102"/>
      <c r="I11" s="1453">
        <f>SUM(I12:I12)</f>
        <v>81787929.42388685</v>
      </c>
      <c r="J11" s="1926">
        <f>I11*15%</f>
        <v>12268189.413583027</v>
      </c>
      <c r="K11" s="1926">
        <f>I11*4%</f>
        <v>3271517.1769554741</v>
      </c>
      <c r="L11" s="1926">
        <f>I11+J11+K11</f>
        <v>97327636.014425352</v>
      </c>
      <c r="M11" s="1926">
        <f>L11*10%</f>
        <v>9732763.6014425363</v>
      </c>
      <c r="N11" s="1928">
        <f>SUM(L11:M12)</f>
        <v>107060399.61586788</v>
      </c>
      <c r="O11" s="1124">
        <f>N11</f>
        <v>107060399.61586788</v>
      </c>
    </row>
    <row r="12" spans="1:15" ht="15">
      <c r="A12" s="1103"/>
      <c r="B12" s="1104">
        <v>1</v>
      </c>
      <c r="C12" s="1105" t="s">
        <v>776</v>
      </c>
      <c r="D12" s="1106" t="s">
        <v>1</v>
      </c>
      <c r="E12" s="1107" t="s">
        <v>46</v>
      </c>
      <c r="F12" s="1107"/>
      <c r="G12" s="1108">
        <f>'Data_tinh thu'!I12</f>
        <v>4757.101449275362</v>
      </c>
      <c r="H12" s="1108">
        <f>'[1]TONG DON GIA SP'!$J$12</f>
        <v>17192.807489179238</v>
      </c>
      <c r="I12" s="1454">
        <f>G12*H12</f>
        <v>81787929.42388685</v>
      </c>
      <c r="J12" s="1927"/>
      <c r="K12" s="1927"/>
      <c r="L12" s="1927"/>
      <c r="M12" s="1927"/>
      <c r="N12" s="1929"/>
    </row>
    <row r="13" spans="1:15" ht="30">
      <c r="A13" s="1109">
        <v>6</v>
      </c>
      <c r="B13" s="1912" t="s">
        <v>777</v>
      </c>
      <c r="C13" s="1913"/>
      <c r="D13" s="1110" t="s">
        <v>778</v>
      </c>
      <c r="E13" s="1093"/>
      <c r="F13" s="1092" t="s">
        <v>779</v>
      </c>
      <c r="G13" s="1111">
        <f>'Data_tinh thu'!H11</f>
        <v>56373.333333333336</v>
      </c>
      <c r="H13" s="1120">
        <f>'[1]TONG DON GIA SP'!$J$19</f>
        <v>1815.3465779830422</v>
      </c>
      <c r="I13" s="1120">
        <f t="shared" ref="I13:I18" si="1">G13*H13</f>
        <v>102337137.75616403</v>
      </c>
      <c r="J13" s="1132">
        <f t="shared" ref="J13:J18" si="2">I13*15%</f>
        <v>15350570.663424604</v>
      </c>
      <c r="K13" s="1132">
        <f t="shared" ref="K13:K18" si="3">I13*4%</f>
        <v>4093485.5102465614</v>
      </c>
      <c r="L13" s="1132">
        <f t="shared" ref="L13:L18" si="4">SUM(I13:K13)</f>
        <v>121781193.92983519</v>
      </c>
      <c r="M13" s="1132">
        <f t="shared" ref="M13:M18" si="5">L13*10%</f>
        <v>12178119.392983519</v>
      </c>
      <c r="N13" s="1133">
        <f t="shared" ref="N13:N18" si="6">SUM(L13:M13)</f>
        <v>133959313.3228187</v>
      </c>
    </row>
    <row r="14" spans="1:15" ht="15">
      <c r="A14" s="1109">
        <v>7</v>
      </c>
      <c r="B14" s="1912" t="s">
        <v>127</v>
      </c>
      <c r="C14" s="1913"/>
      <c r="D14" s="1110" t="s">
        <v>1</v>
      </c>
      <c r="E14" s="1093"/>
      <c r="F14" s="1093"/>
      <c r="G14" s="1111">
        <f>G5</f>
        <v>8000</v>
      </c>
      <c r="H14" s="1111">
        <f>'[1]TONG DON GIA SP'!$J$20</f>
        <v>3076.3062941150129</v>
      </c>
      <c r="I14" s="1120">
        <f t="shared" si="1"/>
        <v>24610450.352920104</v>
      </c>
      <c r="J14" s="1132">
        <f t="shared" si="2"/>
        <v>3691567.5529380157</v>
      </c>
      <c r="K14" s="1132">
        <f t="shared" si="3"/>
        <v>984418.01411680412</v>
      </c>
      <c r="L14" s="1132">
        <f t="shared" si="4"/>
        <v>29286435.919974923</v>
      </c>
      <c r="M14" s="1132">
        <f t="shared" si="5"/>
        <v>2928643.5919974926</v>
      </c>
      <c r="N14" s="1133">
        <f t="shared" si="6"/>
        <v>32215079.511972416</v>
      </c>
    </row>
    <row r="15" spans="1:15" ht="30">
      <c r="A15" s="1109">
        <v>8</v>
      </c>
      <c r="B15" s="1912" t="s">
        <v>128</v>
      </c>
      <c r="C15" s="1913"/>
      <c r="D15" s="1110" t="s">
        <v>1</v>
      </c>
      <c r="E15" s="1093"/>
      <c r="F15" s="1092" t="s">
        <v>779</v>
      </c>
      <c r="G15" s="1111">
        <f>G5</f>
        <v>8000</v>
      </c>
      <c r="H15" s="1120">
        <f>'[1]TONG DON GIA SP'!$J$21</f>
        <v>2220.1390863681818</v>
      </c>
      <c r="I15" s="1120">
        <f t="shared" si="1"/>
        <v>17761112.690945454</v>
      </c>
      <c r="J15" s="1132">
        <f t="shared" si="2"/>
        <v>2664166.9036418181</v>
      </c>
      <c r="K15" s="1132">
        <f t="shared" si="3"/>
        <v>710444.50763781823</v>
      </c>
      <c r="L15" s="1132">
        <f t="shared" si="4"/>
        <v>21135724.102225091</v>
      </c>
      <c r="M15" s="1132">
        <f t="shared" si="5"/>
        <v>2113572.4102225094</v>
      </c>
      <c r="N15" s="1133">
        <f t="shared" si="6"/>
        <v>23249296.512447599</v>
      </c>
    </row>
    <row r="16" spans="1:15" ht="15">
      <c r="A16" s="1112">
        <v>9</v>
      </c>
      <c r="B16" s="1931" t="s">
        <v>780</v>
      </c>
      <c r="C16" s="1931"/>
      <c r="D16" s="1113" t="s">
        <v>1</v>
      </c>
      <c r="E16" s="1096"/>
      <c r="F16" s="1096"/>
      <c r="G16" s="1114">
        <f>'Data_tinh thu'!D11</f>
        <v>8000</v>
      </c>
      <c r="H16" s="1121">
        <f>'[1]TONG DON GIA SP'!$J$22</f>
        <v>1790.6677976010274</v>
      </c>
      <c r="I16" s="1120">
        <f t="shared" si="1"/>
        <v>14325342.380808219</v>
      </c>
      <c r="J16" s="1132">
        <f t="shared" si="2"/>
        <v>2148801.3571212329</v>
      </c>
      <c r="K16" s="1132">
        <f t="shared" si="3"/>
        <v>573013.69523232884</v>
      </c>
      <c r="L16" s="1132">
        <f t="shared" si="4"/>
        <v>17047157.43316178</v>
      </c>
      <c r="M16" s="1132">
        <f t="shared" si="5"/>
        <v>1704715.7433161782</v>
      </c>
      <c r="N16" s="1133">
        <f t="shared" si="6"/>
        <v>18751873.176477958</v>
      </c>
    </row>
    <row r="17" spans="1:14" ht="30">
      <c r="A17" s="1112">
        <v>10</v>
      </c>
      <c r="B17" s="1931" t="s">
        <v>781</v>
      </c>
      <c r="C17" s="1931"/>
      <c r="D17" s="1113" t="s">
        <v>1</v>
      </c>
      <c r="E17" s="1087" t="s">
        <v>48</v>
      </c>
      <c r="F17" s="1096" t="s">
        <v>779</v>
      </c>
      <c r="G17" s="1114">
        <f>G5</f>
        <v>8000</v>
      </c>
      <c r="H17" s="1121">
        <f>'[1]TONG DON GIA SP'!$J$23</f>
        <v>192.01281403074739</v>
      </c>
      <c r="I17" s="1120">
        <f t="shared" si="1"/>
        <v>1536102.5122459792</v>
      </c>
      <c r="J17" s="1132">
        <f t="shared" si="2"/>
        <v>230415.37683689687</v>
      </c>
      <c r="K17" s="1132">
        <f t="shared" si="3"/>
        <v>61444.100489839169</v>
      </c>
      <c r="L17" s="1132">
        <f t="shared" si="4"/>
        <v>1827961.9895727152</v>
      </c>
      <c r="M17" s="1132">
        <f t="shared" si="5"/>
        <v>182796.19895727152</v>
      </c>
      <c r="N17" s="1182">
        <f t="shared" si="6"/>
        <v>2010758.1885299869</v>
      </c>
    </row>
    <row r="18" spans="1:14" ht="15">
      <c r="A18" s="1115">
        <v>11</v>
      </c>
      <c r="B18" s="1930" t="s">
        <v>782</v>
      </c>
      <c r="C18" s="1930"/>
      <c r="D18" s="1116" t="s">
        <v>1</v>
      </c>
      <c r="E18" s="1117"/>
      <c r="F18" s="1117"/>
      <c r="G18" s="1032">
        <f>'Data_tinh thu'!D11</f>
        <v>8000</v>
      </c>
      <c r="H18" s="1122">
        <f>'[1]TONG DON GIA SP'!$J$24</f>
        <v>1286.2315868075607</v>
      </c>
      <c r="I18" s="1122">
        <f t="shared" si="1"/>
        <v>10289852.694460485</v>
      </c>
      <c r="J18" s="1122">
        <f t="shared" si="2"/>
        <v>1543477.9041690726</v>
      </c>
      <c r="K18" s="1122">
        <f t="shared" si="3"/>
        <v>411594.10777841939</v>
      </c>
      <c r="L18" s="1122">
        <f t="shared" si="4"/>
        <v>12244924.706407977</v>
      </c>
      <c r="M18" s="1122">
        <f t="shared" si="5"/>
        <v>1224492.4706407979</v>
      </c>
      <c r="N18" s="1134">
        <f t="shared" si="6"/>
        <v>13469417.177048774</v>
      </c>
    </row>
    <row r="19" spans="1:14" ht="15" hidden="1">
      <c r="A19" s="1186">
        <v>12</v>
      </c>
      <c r="B19" s="1932" t="s">
        <v>783</v>
      </c>
      <c r="C19" s="1933"/>
      <c r="D19" s="1187"/>
      <c r="E19" s="1187"/>
      <c r="F19" s="1187"/>
      <c r="G19" s="1188"/>
      <c r="H19" s="1189"/>
      <c r="I19" s="1190">
        <f>SUM(I5:I8)+I11+SUM(I13:I18)</f>
        <v>406688837.16233289</v>
      </c>
      <c r="J19" s="1190">
        <f>SUM(J5:J8)+SUM(J11:J18)</f>
        <v>61003325.574349932</v>
      </c>
      <c r="K19" s="1190">
        <f>SUM(K5:K8)+SUM(K11:K18)</f>
        <v>16267553.486493314</v>
      </c>
      <c r="L19" s="1190">
        <f>SUM(L5:L8)+SUM(L11:L18)</f>
        <v>483959716.22317606</v>
      </c>
      <c r="M19" s="1190">
        <f>SUM(M5:M8)+SUM(M11:M18)</f>
        <v>48395971.622317612</v>
      </c>
      <c r="N19" s="1190">
        <f>SUM(N5:N8)+SUM(N11:N18)</f>
        <v>532355687.84549367</v>
      </c>
    </row>
    <row r="20" spans="1:14" ht="15.75">
      <c r="A20" s="1115">
        <v>12</v>
      </c>
      <c r="B20" s="1930" t="s">
        <v>820</v>
      </c>
      <c r="C20" s="1930"/>
      <c r="D20" s="1191" t="s">
        <v>176</v>
      </c>
      <c r="E20" s="1192"/>
      <c r="F20" s="1192"/>
      <c r="G20" s="1032">
        <v>1</v>
      </c>
      <c r="H20" s="1193">
        <f>'[1]NC TichHop (BANG6)'!$G$4</f>
        <v>30655536.153846152</v>
      </c>
      <c r="I20" s="1193">
        <f>G20*H20</f>
        <v>30655536.153846152</v>
      </c>
      <c r="J20" s="1193">
        <f>I20*15%</f>
        <v>4598330.423076923</v>
      </c>
      <c r="K20" s="1193">
        <f>I20*4%</f>
        <v>1226221.4461538461</v>
      </c>
      <c r="L20" s="1193">
        <f>I20+J20+K20</f>
        <v>36480088.023076922</v>
      </c>
      <c r="M20" s="1193">
        <f>L20*10%</f>
        <v>3648008.8023076924</v>
      </c>
      <c r="N20" s="1194">
        <f>L20+M20</f>
        <v>40128096.825384617</v>
      </c>
    </row>
    <row r="21" spans="1:14" ht="18" customHeight="1">
      <c r="A21" s="1180"/>
      <c r="B21" s="1911" t="s">
        <v>35</v>
      </c>
      <c r="C21" s="1911" t="s">
        <v>35</v>
      </c>
      <c r="D21" s="1180"/>
      <c r="E21" s="1180"/>
      <c r="F21" s="1180"/>
      <c r="G21" s="1180"/>
      <c r="H21" s="1181"/>
      <c r="I21" s="1180"/>
      <c r="J21" s="1181"/>
      <c r="K21" s="1181"/>
      <c r="L21" s="1181"/>
      <c r="M21" s="1181"/>
      <c r="N21" s="1195">
        <f>N19+N20</f>
        <v>572483784.67087829</v>
      </c>
    </row>
    <row r="22" spans="1:14">
      <c r="L22" s="1123" t="s">
        <v>35</v>
      </c>
      <c r="N22" s="1123">
        <f>SUM(N21:N21)</f>
        <v>572483784.67087829</v>
      </c>
    </row>
  </sheetData>
  <mergeCells count="25">
    <mergeCell ref="M11:M12"/>
    <mergeCell ref="B13:C13"/>
    <mergeCell ref="J11:J12"/>
    <mergeCell ref="B15:C15"/>
    <mergeCell ref="B20:C20"/>
    <mergeCell ref="B16:C16"/>
    <mergeCell ref="B17:C17"/>
    <mergeCell ref="B18:C18"/>
    <mergeCell ref="B19:C19"/>
    <mergeCell ref="B21:C21"/>
    <mergeCell ref="B6:C6"/>
    <mergeCell ref="A1:N1"/>
    <mergeCell ref="A2:N2"/>
    <mergeCell ref="M3:N3"/>
    <mergeCell ref="B4:C4"/>
    <mergeCell ref="B5:C5"/>
    <mergeCell ref="B14:C14"/>
    <mergeCell ref="B7:C7"/>
    <mergeCell ref="B8:C8"/>
    <mergeCell ref="B9:C9"/>
    <mergeCell ref="B10:C10"/>
    <mergeCell ref="B11:C11"/>
    <mergeCell ref="K11:K12"/>
    <mergeCell ref="L11:L12"/>
    <mergeCell ref="N11:N12"/>
  </mergeCells>
  <pageMargins left="0.75" right="0.75" top="1" bottom="1" header="0.5" footer="0.5"/>
  <pageSetup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4" zoomScale="70" zoomScaleNormal="70" workbookViewId="0">
      <selection activeCell="J20" sqref="J20"/>
    </sheetView>
  </sheetViews>
  <sheetFormatPr defaultColWidth="8.875" defaultRowHeight="15.75"/>
  <cols>
    <col min="1" max="1" width="6.75" style="426" customWidth="1"/>
    <col min="2" max="2" width="61.625" style="425" customWidth="1"/>
    <col min="3" max="3" width="18.875" style="422" customWidth="1"/>
    <col min="4" max="4" width="14" style="422" customWidth="1"/>
    <col min="5" max="5" width="14.75" style="422" customWidth="1"/>
    <col min="6" max="6" width="11.375" style="422" customWidth="1"/>
    <col min="7" max="7" width="13.25" style="1061" customWidth="1"/>
    <col min="8" max="8" width="11.125" style="1061" bestFit="1" customWidth="1"/>
    <col min="9" max="9" width="11.75" style="1066" customWidth="1"/>
    <col min="10" max="10" width="10.625" style="1061" customWidth="1"/>
    <col min="11" max="11" width="11.625" style="1066" customWidth="1"/>
    <col min="12" max="12" width="11.75" style="1061" customWidth="1"/>
    <col min="13" max="13" width="12.25" style="422" bestFit="1" customWidth="1"/>
    <col min="14" max="16384" width="8.875" style="422"/>
  </cols>
  <sheetData>
    <row r="1" spans="1:12" ht="21.75" customHeight="1">
      <c r="A1" s="1934" t="s">
        <v>789</v>
      </c>
      <c r="B1" s="1934"/>
      <c r="C1" s="1934"/>
      <c r="D1" s="1934"/>
      <c r="E1" s="1934"/>
      <c r="F1" s="1934"/>
      <c r="G1" s="1934"/>
      <c r="H1" s="1934"/>
      <c r="I1" s="1934"/>
      <c r="J1" s="1934"/>
      <c r="K1" s="1934"/>
      <c r="L1" s="1934"/>
    </row>
    <row r="2" spans="1:12" ht="26.25" customHeight="1">
      <c r="A2" s="1891"/>
      <c r="B2" s="1892"/>
      <c r="C2" s="1892"/>
      <c r="D2" s="1892"/>
      <c r="E2" s="1892"/>
      <c r="F2" s="1893"/>
      <c r="G2" s="433"/>
      <c r="H2" s="433"/>
      <c r="I2" s="1935" t="s">
        <v>265</v>
      </c>
      <c r="J2" s="1935"/>
      <c r="K2" s="1935"/>
      <c r="L2" s="1935"/>
    </row>
    <row r="3" spans="1:12" ht="21.95" customHeight="1">
      <c r="A3" s="1936" t="s">
        <v>264</v>
      </c>
      <c r="B3" s="1936" t="s">
        <v>263</v>
      </c>
      <c r="C3" s="1936" t="s">
        <v>262</v>
      </c>
      <c r="D3" s="1937" t="s">
        <v>261</v>
      </c>
      <c r="E3" s="1890" t="s">
        <v>259</v>
      </c>
      <c r="F3" s="1890" t="s">
        <v>258</v>
      </c>
      <c r="G3" s="1938" t="s">
        <v>257</v>
      </c>
      <c r="H3" s="1938"/>
      <c r="I3" s="1936" t="s">
        <v>256</v>
      </c>
      <c r="J3" s="1939" t="s">
        <v>255</v>
      </c>
      <c r="K3" s="1890" t="s">
        <v>254</v>
      </c>
      <c r="L3" s="1890" t="s">
        <v>836</v>
      </c>
    </row>
    <row r="4" spans="1:12" ht="37.5" customHeight="1">
      <c r="A4" s="1936"/>
      <c r="B4" s="1936" t="s">
        <v>249</v>
      </c>
      <c r="C4" s="1936" t="s">
        <v>252</v>
      </c>
      <c r="D4" s="1937"/>
      <c r="E4" s="1890"/>
      <c r="F4" s="1890"/>
      <c r="G4" s="1239" t="s">
        <v>251</v>
      </c>
      <c r="H4" s="1239" t="s">
        <v>250</v>
      </c>
      <c r="I4" s="1936"/>
      <c r="J4" s="1940"/>
      <c r="K4" s="1890" t="s">
        <v>249</v>
      </c>
      <c r="L4" s="1890" t="s">
        <v>249</v>
      </c>
    </row>
    <row r="5" spans="1:12">
      <c r="A5" s="1178">
        <f>'Nhan-cong-Trung Uong'!A3</f>
        <v>1</v>
      </c>
      <c r="B5" s="1179" t="str">
        <f>'Nhan-cong-Trung Uong'!B3</f>
        <v>Công tác chuẩn bị</v>
      </c>
      <c r="C5" s="1236"/>
      <c r="D5" s="427"/>
      <c r="E5" s="430"/>
      <c r="F5" s="430"/>
      <c r="G5" s="430"/>
      <c r="H5" s="430"/>
      <c r="I5" s="815"/>
      <c r="J5" s="427"/>
      <c r="K5" s="1237"/>
      <c r="L5" s="1237"/>
    </row>
    <row r="6" spans="1:12" ht="47.25">
      <c r="A6" s="1234" t="str">
        <f>'Nhan-cong-Trung Uong'!A4</f>
        <v>1.1</v>
      </c>
      <c r="B6" s="1235" t="str">
        <f>'Nhan-cong-Trung Uong'!B4</f>
        <v>Lập kế hoạch thi công chi tiết: Xác định thời gian, địa điểm, khối lượng và nhân lực thực hiện của từng bước công việc; kế hoạch làm việc với các đơn vị có liên quan đến công tác xây dựng cơ sở dữ liệu địa chính</v>
      </c>
      <c r="C6" s="1236" t="str">
        <f>'Nhan-cong-Trung Uong'!C4</f>
        <v>Huyện</v>
      </c>
      <c r="D6" s="427">
        <f>'Nhan-cong-Trung Uong'!H4</f>
        <v>5480520.865384616</v>
      </c>
      <c r="E6" s="430">
        <f>'Dcu Trung Uong'!F15</f>
        <v>249807.23807692307</v>
      </c>
      <c r="F6" s="430">
        <f>'Vat-lieu Trung Uong'!F17</f>
        <v>13.464231753831786</v>
      </c>
      <c r="G6" s="430">
        <f>'Thiet-bi Trung Uong'!I5</f>
        <v>60000</v>
      </c>
      <c r="H6" s="430">
        <f>'Thiet-bi Trung Uong'!I8</f>
        <v>183436.80000000002</v>
      </c>
      <c r="I6" s="815">
        <f t="shared" ref="I6:I8" si="0">SUM(D6:H6)</f>
        <v>5973778.3676932929</v>
      </c>
      <c r="J6" s="427">
        <f t="shared" ref="J6:J8" si="1">I6*0.15</f>
        <v>896066.75515399396</v>
      </c>
      <c r="K6" s="1237">
        <f t="shared" ref="K6:K8" si="2">I6+J6</f>
        <v>6869845.122847287</v>
      </c>
      <c r="L6" s="1237">
        <f t="shared" ref="L6:L8" si="3">K6-G6</f>
        <v>6809845.122847287</v>
      </c>
    </row>
    <row r="7" spans="1:12" ht="47.25">
      <c r="A7" s="1234" t="str">
        <f>'Nhan-cong-Trung Uong'!A5</f>
        <v>1.2</v>
      </c>
      <c r="B7" s="1235" t="str">
        <f>'Nhan-cong-Trung Uong'!B5</f>
        <v xml:space="preserve">Chuẩn bị vật tư, thiết bị, dụng cụ, phần mềm cho công tác xây dựng cơ sở dữ liệu địa chính; Chuẩn bị nhân lực, địa điểm làm việc
</v>
      </c>
      <c r="C7" s="1236" t="str">
        <f>'Nhan-cong-Trung Uong'!C5</f>
        <v>Huyện</v>
      </c>
      <c r="D7" s="427">
        <f>'Nhan-cong-Trung Uong'!H5</f>
        <v>7307361.1538461549</v>
      </c>
      <c r="E7" s="430">
        <f>'Dcu Trung Uong'!F16</f>
        <v>333076.31743589742</v>
      </c>
      <c r="F7" s="430">
        <f>'Vat-lieu Trung Uong'!F18</f>
        <v>17.952309005109047</v>
      </c>
      <c r="G7" s="430">
        <f>'Thiet-bi Trung Uong'!I9</f>
        <v>80000</v>
      </c>
      <c r="H7" s="430">
        <f>'Thiet-bi Trung Uong'!I12</f>
        <v>244582.39999999999</v>
      </c>
      <c r="I7" s="815">
        <f t="shared" si="0"/>
        <v>7965037.8235910572</v>
      </c>
      <c r="J7" s="427">
        <f t="shared" si="1"/>
        <v>1194755.6735386585</v>
      </c>
      <c r="K7" s="1237">
        <f t="shared" si="2"/>
        <v>9159793.497129716</v>
      </c>
      <c r="L7" s="1237">
        <f t="shared" si="3"/>
        <v>9079793.497129716</v>
      </c>
    </row>
    <row r="8" spans="1:12">
      <c r="A8" s="1234" t="str">
        <f>'Nhan-cong-Trung Uong'!A6</f>
        <v>1.3</v>
      </c>
      <c r="B8" s="1235" t="str">
        <f>'Nhan-cong-Trung Uong'!B6</f>
        <v>Chuẩn bị nhân lực, địa điểm làm việc</v>
      </c>
      <c r="C8" s="1236" t="str">
        <f>'Nhan-cong-Trung Uong'!C6</f>
        <v>Huyện</v>
      </c>
      <c r="D8" s="427">
        <f>'Nhan-cong-Trung Uong'!H6</f>
        <v>0</v>
      </c>
      <c r="E8" s="430">
        <f>'Dcu Trung Uong'!F17</f>
        <v>0</v>
      </c>
      <c r="F8" s="430">
        <f>'Vat-lieu Trung Uong'!F19</f>
        <v>0</v>
      </c>
      <c r="G8" s="430">
        <f>'Thiet-bi Trung Uong'!I13</f>
        <v>0</v>
      </c>
      <c r="H8" s="430">
        <f>'Thiet-bi Trung Uong'!I16</f>
        <v>0</v>
      </c>
      <c r="I8" s="815">
        <f t="shared" si="0"/>
        <v>0</v>
      </c>
      <c r="J8" s="427">
        <f t="shared" si="1"/>
        <v>0</v>
      </c>
      <c r="K8" s="1237">
        <f t="shared" si="2"/>
        <v>0</v>
      </c>
      <c r="L8" s="1237">
        <f t="shared" si="3"/>
        <v>0</v>
      </c>
    </row>
    <row r="9" spans="1:12">
      <c r="A9" s="1178">
        <f>'Nhan-cong-Trung Uong'!A7</f>
        <v>2</v>
      </c>
      <c r="B9" s="1179" t="str">
        <f>'Nhan-cong-Trung Uong'!B7</f>
        <v>Thu thập tài liệu, dữ liệu</v>
      </c>
      <c r="C9" s="1236" t="str">
        <f>'Nhan-cong-Trung Uong'!C7</f>
        <v>Huyện</v>
      </c>
      <c r="D9" s="427">
        <f>'Nhan-cong-Trung Uong'!H7</f>
        <v>16919293.846153848</v>
      </c>
      <c r="E9" s="430">
        <f>'Dcu Trung Uong'!F18</f>
        <v>749421.7142307692</v>
      </c>
      <c r="F9" s="430">
        <f>'Vat-lieu Trung Uong'!F20</f>
        <v>40.392695261495355</v>
      </c>
      <c r="G9" s="430">
        <f>'Thiet-bi Trung Uong'!I17</f>
        <v>120000</v>
      </c>
      <c r="H9" s="430">
        <f>'Thiet-bi Trung Uong'!I20</f>
        <v>366873.60000000003</v>
      </c>
      <c r="I9" s="815">
        <f>SUM(D9:H9)</f>
        <v>18155629.553079881</v>
      </c>
      <c r="J9" s="427">
        <f>I9*0.15</f>
        <v>2723344.4329619822</v>
      </c>
      <c r="K9" s="1237">
        <f>I9+J9</f>
        <v>20878973.986041863</v>
      </c>
      <c r="L9" s="1237">
        <f>K9-G9</f>
        <v>20758973.986041863</v>
      </c>
    </row>
    <row r="10" spans="1:12">
      <c r="A10" s="1178">
        <f>'Nhan-cong-Trung Uong'!A8</f>
        <v>3</v>
      </c>
      <c r="B10" s="1179" t="str">
        <f>'Nhan-cong-Trung Uong'!B8</f>
        <v>Xây dựng dữ liệu không gian</v>
      </c>
      <c r="C10" s="1236"/>
      <c r="D10" s="427"/>
      <c r="E10" s="430"/>
      <c r="F10" s="430"/>
      <c r="G10" s="430"/>
      <c r="H10" s="430"/>
      <c r="I10" s="815"/>
      <c r="J10" s="427"/>
      <c r="K10" s="1237"/>
      <c r="L10" s="1237"/>
    </row>
    <row r="11" spans="1:12">
      <c r="A11" s="1234" t="str">
        <f>'Nhan-cong-Trung Uong'!A9</f>
        <v>3.1</v>
      </c>
      <c r="B11" s="1235" t="str">
        <f>'Nhan-cong-Trung Uong'!B9</f>
        <v>Xây dựng dữ liệu nền không gian cả nước</v>
      </c>
      <c r="C11" s="1236"/>
      <c r="D11" s="427"/>
      <c r="E11" s="430"/>
      <c r="F11" s="430"/>
      <c r="G11" s="430"/>
      <c r="H11" s="430"/>
      <c r="I11" s="815"/>
      <c r="J11" s="427"/>
      <c r="K11" s="1237"/>
      <c r="L11" s="1237"/>
    </row>
    <row r="12" spans="1:12" ht="31.5">
      <c r="A12" s="1234"/>
      <c r="B12" s="1235" t="str">
        <f>'Nhan-cong-Trung Uong'!B10</f>
        <v>Tách, lọc và chuẩn hóa các lớp đối tượng biên giới, địa giới; thủy hệ; giao thông; địa danh và ghi chú</v>
      </c>
      <c r="C12" s="1236" t="str">
        <f>'Nhan-cong-Trung Uong'!C10</f>
        <v>Huyện</v>
      </c>
      <c r="D12" s="427">
        <f>'Nhan-cong-Trung Uong'!H10</f>
        <v>320206.73076923075</v>
      </c>
      <c r="E12" s="430">
        <f>'Dcu Trung Uong'!F21</f>
        <v>8231148.4946346143</v>
      </c>
      <c r="F12" s="430">
        <f>'Vat-lieu Trung Uong'!F23</f>
        <v>443.64643628875734</v>
      </c>
      <c r="G12" s="1233">
        <f>'Thiet-bi Trung Uong'!I22</f>
        <v>6000.0000000000009</v>
      </c>
      <c r="H12" s="1233">
        <f>'Thiet-bi Trung Uong'!I25</f>
        <v>18343.680000000004</v>
      </c>
      <c r="I12" s="815">
        <f>SUM(D12:H12)</f>
        <v>8576142.551840134</v>
      </c>
      <c r="J12" s="427">
        <f>I12*0.15</f>
        <v>1286421.3827760201</v>
      </c>
      <c r="K12" s="1237">
        <f>I12+J12</f>
        <v>9862563.9346161541</v>
      </c>
      <c r="L12" s="1237">
        <f>K12-G12</f>
        <v>9856563.9346161541</v>
      </c>
    </row>
    <row r="13" spans="1:12" ht="63">
      <c r="A13" s="1234"/>
      <c r="B13" s="1235" t="str">
        <f>'Nhan-cong-Trung Uong'!B11</f>
        <v>Gộp các thành phần tiếp giáp nhau của cùng một đối tượng thuộc các lớp dữ liệu nền không gian cả nước thành một đối tượng duy nhất phù hợp với thông tin thuộc tính của đối tượng theo phạm vi cả nước;  xử lý tiếp biên dữ liệu nền không gian cả nước của các đơn vị hành chính</v>
      </c>
      <c r="C13" s="1236" t="str">
        <f>'Nhan-cong-Trung Uong'!C11</f>
        <v>Huyện</v>
      </c>
      <c r="D13" s="427">
        <f>'Nhan-cong-Trung Uong'!H11</f>
        <v>71157.051282051281</v>
      </c>
      <c r="E13" s="430">
        <f>'Dcu Trung Uong'!F22</f>
        <v>1829144.1099188034</v>
      </c>
      <c r="F13" s="430">
        <f>'Vat-lieu Trung Uong'!F24</f>
        <v>98.588096953057189</v>
      </c>
      <c r="G13" s="1238">
        <f>'Thiet-bi Trung Uong'!I26</f>
        <v>1333.3333333333335</v>
      </c>
      <c r="H13" s="1238">
        <f>'Thiet-bi Trung Uong'!I29</f>
        <v>4076.3733333333334</v>
      </c>
      <c r="I13" s="815">
        <f>SUM(D13:H13)</f>
        <v>1905809.4559644742</v>
      </c>
      <c r="J13" s="427">
        <f>I13*0.15</f>
        <v>285871.41839467111</v>
      </c>
      <c r="K13" s="1237">
        <f>I13+J13</f>
        <v>2191680.8743591453</v>
      </c>
      <c r="L13" s="1237">
        <f>K13-G13</f>
        <v>2190347.5410258118</v>
      </c>
    </row>
    <row r="14" spans="1:12" ht="47.25">
      <c r="A14" s="1234"/>
      <c r="B14" s="1235" t="str">
        <f>'Nhan-cong-Trung Uong'!B12</f>
        <v xml:space="preserve">Chuyển đổi các lớp đối tượng nền không gian cả nước từ tệp (File) bản đồ số vào cơ sở dữ liệu
</v>
      </c>
      <c r="C14" s="1236" t="str">
        <f>'Nhan-cong-Trung Uong'!C12</f>
        <v>Huyện</v>
      </c>
      <c r="D14" s="427">
        <f>'Nhan-cong-Trung Uong'!H12</f>
        <v>1619.6597408661141</v>
      </c>
      <c r="E14" s="430">
        <f>'Dcu Trung Uong'!F23</f>
        <v>41634.539679487185</v>
      </c>
      <c r="F14" s="430">
        <f>'Vat-lieu Trung Uong'!F25</f>
        <v>2.2440386256386313</v>
      </c>
      <c r="G14" s="1238">
        <f>'Thiet-bi Trung Uong'!I30</f>
        <v>30.349013657056148</v>
      </c>
      <c r="H14" s="1238">
        <f>'Thiet-bi Trung Uong'!I33</f>
        <v>92.785432473444629</v>
      </c>
      <c r="I14" s="815">
        <f>SUM(D14:H14)</f>
        <v>43379.577905109436</v>
      </c>
      <c r="J14" s="427">
        <f>I14*0.15</f>
        <v>6506.9366857664154</v>
      </c>
      <c r="K14" s="1237">
        <f>I14+J14</f>
        <v>49886.51459087585</v>
      </c>
      <c r="L14" s="1237">
        <f>K14-G14</f>
        <v>49856.165577218795</v>
      </c>
    </row>
    <row r="15" spans="1:12">
      <c r="A15" s="1178">
        <f>'Nhan-cong-Trung Uong'!A13</f>
        <v>4</v>
      </c>
      <c r="B15" s="1179" t="str">
        <f>'Nhan-cong-Trung Uong'!B13</f>
        <v>Xây dựng dữ liệu thuộc tính</v>
      </c>
      <c r="C15" s="1236"/>
      <c r="D15" s="427"/>
      <c r="E15" s="430"/>
      <c r="F15" s="430"/>
      <c r="G15" s="1233"/>
      <c r="H15" s="1233"/>
      <c r="I15" s="815"/>
      <c r="J15" s="427"/>
      <c r="K15" s="1237"/>
      <c r="L15" s="1237"/>
    </row>
    <row r="16" spans="1:12" ht="47.25">
      <c r="A16" s="1234" t="str">
        <f>'Nhan-cong-Trung Uong'!A14</f>
        <v>4.1</v>
      </c>
      <c r="B16" s="1235" t="str">
        <f>'Nhan-cong-Trung Uong'!B14</f>
        <v>Chiết xuất dữ liệu tổng hợp về đo đạc lập bản đồ địa chính, đăng ký đất đai, cấp Giấy chứng nhận quyền sử dụng đất, quyền sở hữu nhà ở và tài sản khác gắn liền với đất, lập hồ sơ địa chính từ cơ sở dữ liệu đất đai</v>
      </c>
      <c r="C16" s="1236" t="str">
        <f>'Nhan-cong-Trung Uong'!C14</f>
        <v>Huyện</v>
      </c>
      <c r="D16" s="427">
        <f>'Nhan-cong-Trung Uong'!H14</f>
        <v>5336778.846153846</v>
      </c>
      <c r="E16" s="430">
        <f>'Dcu Trung Uong'!F25</f>
        <v>208172.69839743592</v>
      </c>
      <c r="F16" s="430">
        <f>'Vat-lieu Trung Uong'!F27</f>
        <v>11.220193128193156</v>
      </c>
      <c r="G16" s="1233">
        <f>'Thiet-bi Trung Uong'!I35</f>
        <v>100000</v>
      </c>
      <c r="H16" s="1233">
        <f>'Thiet-bi Trung Uong'!I38</f>
        <v>305728</v>
      </c>
      <c r="I16" s="815">
        <f>SUM(D16:H16)</f>
        <v>5950690.7647444103</v>
      </c>
      <c r="J16" s="427">
        <f>I16*0.15</f>
        <v>892603.61471166147</v>
      </c>
      <c r="K16" s="1237">
        <f>I16+J16</f>
        <v>6843294.3794560721</v>
      </c>
      <c r="L16" s="1237">
        <f>K16-G16</f>
        <v>6743294.3794560721</v>
      </c>
    </row>
    <row r="17" spans="1:12" ht="78.75">
      <c r="A17" s="1234" t="str">
        <f>'Nhan-cong-Trung Uong'!A15</f>
        <v>4.2</v>
      </c>
      <c r="B17" s="1235" t="str">
        <f>'Nhan-cong-Trung Uong'!B15</f>
        <v>Nhập, chuyển đổi dữ liệu, tài liệu tổng hợp về đo đạc lập bản đồ địa chính, đăng ký đất đai, cấp Giấy chứng nhận quyền sử dụng đất, quyền sở hữu nhà ở và tài sản khác gắn liền với đất, lập hồ sơ địa chính của các tỉnh, thành phố trực thuộc Trung ương (đối với các địa bàn chưa vận hành cơ sở dữ liệu đất đai tập trung)</v>
      </c>
      <c r="C17" s="1236" t="str">
        <f>'Nhan-cong-Trung Uong'!C15</f>
        <v>Huyện</v>
      </c>
      <c r="D17" s="427">
        <f>'Nhan-cong-Trung Uong'!H15</f>
        <v>16675965.384615384</v>
      </c>
      <c r="E17" s="430">
        <f>'Dcu Trung Uong'!F26</f>
        <v>832690.79358974367</v>
      </c>
      <c r="F17" s="430">
        <f>'Vat-lieu Trung Uong'!F28</f>
        <v>44.880772512772623</v>
      </c>
      <c r="G17" s="1233">
        <f>'Thiet-bi Trung Uong'!I39</f>
        <v>1765333.3333333333</v>
      </c>
      <c r="H17" s="1233">
        <f>'Thiet-bi Trung Uong'!I45</f>
        <v>2453017.6000000001</v>
      </c>
      <c r="I17" s="815">
        <f>SUM(D17:H17)</f>
        <v>21727051.992310975</v>
      </c>
      <c r="J17" s="427">
        <f>I17*0.15</f>
        <v>3259057.7988466462</v>
      </c>
      <c r="K17" s="1237">
        <f>I17+J17</f>
        <v>24986109.791157622</v>
      </c>
      <c r="L17" s="1237">
        <f>K17-G17</f>
        <v>23220776.45782429</v>
      </c>
    </row>
    <row r="18" spans="1:12">
      <c r="A18" s="1178">
        <f>'Nhan-cong-Trung Uong'!A16</f>
        <v>5</v>
      </c>
      <c r="B18" s="1179" t="str">
        <f>'Nhan-cong-Trung Uong'!B16</f>
        <v>Đối soát, hoàn thiện dữ liệu và xây dựng siêu dữ liệu</v>
      </c>
      <c r="C18" s="1236"/>
      <c r="D18" s="427"/>
      <c r="E18" s="430"/>
      <c r="F18" s="430"/>
      <c r="G18" s="1233"/>
      <c r="H18" s="1233"/>
      <c r="I18" s="815"/>
      <c r="J18" s="427"/>
      <c r="K18" s="1237"/>
      <c r="L18" s="1237"/>
    </row>
    <row r="19" spans="1:12">
      <c r="A19" s="1234" t="str">
        <f>'Nhan-cong-Trung Uong'!A17</f>
        <v>5.1</v>
      </c>
      <c r="B19" s="1235" t="str">
        <f>'Nhan-cong-Trung Uong'!B17</f>
        <v>Thực hiện đối soát, hoàn thiện dữ liệu, tạo liên kết dữ liệu</v>
      </c>
      <c r="C19" s="1236" t="str">
        <f>'Nhan-cong-Trung Uong'!C17</f>
        <v>Huyện</v>
      </c>
      <c r="D19" s="427">
        <f>'Nhan-cong-Trung Uong'!H17</f>
        <v>5336778.846153846</v>
      </c>
      <c r="E19" s="430">
        <f>'Dcu Trung Uong'!F28</f>
        <v>208172.69839743592</v>
      </c>
      <c r="F19" s="430">
        <f>'Vat-lieu Trung Uong'!F30</f>
        <v>11.220193128193156</v>
      </c>
      <c r="G19" s="1233">
        <f>'Thiet-bi Trung Uong'!I47</f>
        <v>100000</v>
      </c>
      <c r="H19" s="1233">
        <f>'Thiet-bi Trung Uong'!I50</f>
        <v>305728</v>
      </c>
      <c r="I19" s="815">
        <f t="shared" ref="I19:I20" si="4">SUM(D19:H19)</f>
        <v>5950690.7647444103</v>
      </c>
      <c r="J19" s="427">
        <f t="shared" ref="J19:J20" si="5">I19*0.15</f>
        <v>892603.61471166147</v>
      </c>
      <c r="K19" s="1237">
        <f t="shared" ref="K19:K20" si="6">I19+J19</f>
        <v>6843294.3794560721</v>
      </c>
      <c r="L19" s="1237">
        <f t="shared" ref="L19:L20" si="7">K19-G19</f>
        <v>6743294.3794560721</v>
      </c>
    </row>
    <row r="20" spans="1:12">
      <c r="A20" s="1234" t="str">
        <f>'Nhan-cong-Trung Uong'!A18</f>
        <v>5.2</v>
      </c>
      <c r="B20" s="1235" t="str">
        <f>'Nhan-cong-Trung Uong'!B18</f>
        <v>Thu nhận các thông tin cần thiết về các dữ liệu để xây dựng siêu dữ liệu</v>
      </c>
      <c r="C20" s="1236" t="str">
        <f>'Nhan-cong-Trung Uong'!C18</f>
        <v>Huyện</v>
      </c>
      <c r="D20" s="427">
        <f>'Nhan-cong-Trung Uong'!H18</f>
        <v>5002789.615384615</v>
      </c>
      <c r="E20" s="430">
        <f>'Dcu Trung Uong'!F29</f>
        <v>249807.23807692307</v>
      </c>
      <c r="F20" s="430">
        <f>'Vat-lieu Trung Uong'!F31</f>
        <v>13.464231753831786</v>
      </c>
      <c r="G20" s="1233">
        <f>'Thiet-bi Trung Uong'!I51</f>
        <v>120000</v>
      </c>
      <c r="H20" s="1233">
        <f>'Thiet-bi Trung Uong'!I58</f>
        <v>36687.360000000008</v>
      </c>
      <c r="I20" s="815">
        <f t="shared" si="4"/>
        <v>5409297.6776932925</v>
      </c>
      <c r="J20" s="427">
        <f t="shared" si="5"/>
        <v>811394.65165399387</v>
      </c>
      <c r="K20" s="1237">
        <f t="shared" si="6"/>
        <v>6220692.3293472864</v>
      </c>
      <c r="L20" s="1237">
        <f t="shared" si="7"/>
        <v>6100692.3293472864</v>
      </c>
    </row>
    <row r="21" spans="1:12">
      <c r="A21" s="1234" t="str">
        <f>'Nhan-cong-Trung Uong'!A19</f>
        <v>5.3</v>
      </c>
      <c r="B21" s="1235" t="str">
        <f>'Nhan-cong-Trung Uong'!B19</f>
        <v>Nhập thông tin siêu dữ liệu</v>
      </c>
      <c r="C21" s="1236" t="str">
        <f>'Nhan-cong-Trung Uong'!C19</f>
        <v>Huyện</v>
      </c>
      <c r="D21" s="427">
        <f>'Nhan-cong-Trung Uong'!H19</f>
        <v>500278.9615384615</v>
      </c>
      <c r="E21" s="430">
        <f>'Dcu Trung Uong'!F30</f>
        <v>24980.723807692306</v>
      </c>
      <c r="F21" s="430">
        <f>'Vat-lieu Trung Uong'!F32</f>
        <v>1.3464231753831786</v>
      </c>
      <c r="G21" s="1233">
        <f>'Thiet-bi Trung Uong'!I55</f>
        <v>12000.000000000002</v>
      </c>
      <c r="H21" s="1233">
        <f>'Thiet-bi Trung Uong'!I58</f>
        <v>36687.360000000008</v>
      </c>
      <c r="I21" s="815">
        <f>SUM(D21:H21)</f>
        <v>573948.3917693292</v>
      </c>
      <c r="J21" s="427">
        <f t="shared" ref="J21:J23" si="8">I21*0.15</f>
        <v>86092.258765399383</v>
      </c>
      <c r="K21" s="1237">
        <f t="shared" ref="K21:K23" si="9">I21+J21</f>
        <v>660040.65053472854</v>
      </c>
      <c r="L21" s="1237">
        <f t="shared" ref="L21:L23" si="10">K21-G21</f>
        <v>648040.65053472854</v>
      </c>
    </row>
    <row r="22" spans="1:12">
      <c r="A22" s="1178">
        <f>'Nhan-cong-Trung Uong'!A20</f>
        <v>6</v>
      </c>
      <c r="B22" s="1179" t="str">
        <f>'Nhan-cong-Trung Uong'!B20</f>
        <v>Phục vụ kiểm tra cơ sở dữ liệu (Bước 8)</v>
      </c>
      <c r="C22" s="1236"/>
      <c r="D22" s="427"/>
      <c r="E22" s="430"/>
      <c r="F22" s="430"/>
      <c r="G22" s="1233"/>
      <c r="H22" s="1233"/>
      <c r="I22" s="815"/>
      <c r="J22" s="427"/>
      <c r="K22" s="1237"/>
      <c r="L22" s="1237"/>
    </row>
    <row r="23" spans="1:12">
      <c r="A23" s="1234" t="str">
        <f>'Nhan-cong-Trung Uong'!A21</f>
        <v>6.1</v>
      </c>
      <c r="B23" s="1235" t="str">
        <f>'Nhan-cong-Trung Uong'!B21</f>
        <v>Chuẩn bị tư liệu, tài liệu và phục vụ giám sát, kiểm tra, nghiệm thu</v>
      </c>
      <c r="C23" s="1236" t="str">
        <f>'Nhan-cong-Trung Uong'!C21</f>
        <v>Huyện</v>
      </c>
      <c r="D23" s="427">
        <f>'Nhan-cong-Trung Uong'!H21</f>
        <v>730736.11538461549</v>
      </c>
      <c r="E23" s="430">
        <f>'Dcu Trung Uong'!F32</f>
        <v>33307.631743589744</v>
      </c>
      <c r="F23" s="430">
        <f>'Vat-lieu Trung Uong'!F34</f>
        <v>1.7952309005109048</v>
      </c>
      <c r="G23" s="1233">
        <f>'Thiet-bi Trung Uong'!I60</f>
        <v>8000</v>
      </c>
      <c r="H23" s="1233">
        <f>'Thiet-bi Trung Uong'!I63</f>
        <v>24458.240000000002</v>
      </c>
      <c r="I23" s="815">
        <f>SUM(D23:H23)</f>
        <v>796503.78235910577</v>
      </c>
      <c r="J23" s="427">
        <f t="shared" si="8"/>
        <v>119475.56735386586</v>
      </c>
      <c r="K23" s="1237">
        <f t="shared" si="9"/>
        <v>915979.3497129716</v>
      </c>
      <c r="L23" s="1237">
        <f t="shared" si="10"/>
        <v>907979.3497129716</v>
      </c>
    </row>
  </sheetData>
  <mergeCells count="14">
    <mergeCell ref="A1:L1"/>
    <mergeCell ref="A2:F2"/>
    <mergeCell ref="I2:L2"/>
    <mergeCell ref="A3:A4"/>
    <mergeCell ref="B3:B4"/>
    <mergeCell ref="C3:C4"/>
    <mergeCell ref="D3:D4"/>
    <mergeCell ref="E3:E4"/>
    <mergeCell ref="F3:F4"/>
    <mergeCell ref="G3:H3"/>
    <mergeCell ref="I3:I4"/>
    <mergeCell ref="J3:J4"/>
    <mergeCell ref="K3:K4"/>
    <mergeCell ref="L3:L4"/>
  </mergeCells>
  <pageMargins left="0.5" right="0" top="0.7" bottom="0.45" header="0.5" footer="0.25"/>
  <pageSetup paperSize="9" orientation="landscape" horizontalDpi="1200" verticalDpi="1200"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3"/>
  <sheetViews>
    <sheetView zoomScale="70" zoomScaleNormal="70" workbookViewId="0">
      <selection activeCell="E13" sqref="E13"/>
    </sheetView>
  </sheetViews>
  <sheetFormatPr defaultColWidth="9" defaultRowHeight="15.75"/>
  <cols>
    <col min="1" max="1" width="7.875" style="334" customWidth="1"/>
    <col min="2" max="2" width="48.625" style="245" customWidth="1"/>
    <col min="3" max="3" width="5.75" style="296" bestFit="1" customWidth="1"/>
    <col min="4" max="4" width="8.625" style="245" customWidth="1"/>
    <col min="5" max="5" width="9.25" style="245" customWidth="1"/>
    <col min="6" max="6" width="14.375" style="297" hidden="1" customWidth="1"/>
    <col min="7" max="7" width="10.875" style="297" hidden="1" customWidth="1"/>
    <col min="8" max="8" width="9.875" style="298" bestFit="1" customWidth="1"/>
    <col min="9" max="9" width="14.25" style="286" customWidth="1"/>
    <col min="10" max="10" width="16.75" style="442" bestFit="1" customWidth="1"/>
    <col min="11" max="11" width="13.375" style="273" bestFit="1" customWidth="1"/>
    <col min="12" max="12" width="9" style="245"/>
    <col min="13" max="13" width="11.375" style="245" bestFit="1" customWidth="1"/>
    <col min="14" max="16384" width="9" style="245"/>
  </cols>
  <sheetData>
    <row r="1" spans="1:12">
      <c r="A1" s="1864" t="s">
        <v>22</v>
      </c>
      <c r="B1" s="1864"/>
      <c r="C1" s="1864"/>
      <c r="D1" s="1864"/>
      <c r="E1" s="1864"/>
      <c r="F1" s="1864"/>
      <c r="G1" s="1864"/>
      <c r="H1" s="1864"/>
      <c r="I1" s="1864"/>
    </row>
    <row r="2" spans="1:12" ht="16.5" thickBot="1">
      <c r="A2" s="323"/>
      <c r="B2" s="247"/>
      <c r="C2" s="246"/>
      <c r="D2" s="247"/>
      <c r="E2" s="247"/>
      <c r="F2" s="248"/>
      <c r="G2" s="249"/>
      <c r="H2" s="250" t="s">
        <v>70</v>
      </c>
      <c r="I2" s="251" t="s">
        <v>69</v>
      </c>
    </row>
    <row r="3" spans="1:12" s="257" customFormat="1" ht="47.25">
      <c r="A3" s="324" t="s">
        <v>14</v>
      </c>
      <c r="B3" s="252" t="s">
        <v>16</v>
      </c>
      <c r="C3" s="253" t="s">
        <v>20</v>
      </c>
      <c r="D3" s="253" t="s">
        <v>4</v>
      </c>
      <c r="E3" s="253" t="s">
        <v>5</v>
      </c>
      <c r="F3" s="254" t="s">
        <v>18</v>
      </c>
      <c r="G3" s="254" t="s">
        <v>0</v>
      </c>
      <c r="H3" s="255" t="s">
        <v>17</v>
      </c>
      <c r="I3" s="256" t="s">
        <v>72</v>
      </c>
      <c r="J3" s="256" t="s">
        <v>164</v>
      </c>
      <c r="K3" s="256" t="s">
        <v>165</v>
      </c>
      <c r="L3" s="257">
        <v>10000</v>
      </c>
    </row>
    <row r="4" spans="1:12" s="257" customFormat="1">
      <c r="A4" s="326">
        <f>'Nhan-cong-Trung Uong'!A3</f>
        <v>1</v>
      </c>
      <c r="B4" s="268" t="str">
        <f>'Nhan-cong-Trung Uong'!B3</f>
        <v>Công tác chuẩn bị</v>
      </c>
      <c r="C4" s="1155"/>
      <c r="D4" s="1155"/>
      <c r="E4" s="1155"/>
      <c r="F4" s="1156"/>
      <c r="G4" s="1156"/>
      <c r="H4" s="1157"/>
      <c r="I4" s="1158"/>
      <c r="J4" s="1159"/>
      <c r="K4" s="1159"/>
    </row>
    <row r="5" spans="1:12" s="257" customFormat="1" ht="63">
      <c r="A5" s="1160" t="str">
        <f>'Nhan-cong-Trung Uong'!A4</f>
        <v>1.1</v>
      </c>
      <c r="B5" s="1163" t="str">
        <f>'Nhan-cong-Trung Uong'!B4</f>
        <v>Lập kế hoạch thi công chi tiết: Xác định thời gian, địa điểm, khối lượng và nhân lực thực hiện của từng bước công việc; kế hoạch làm việc với các đơn vị có liên quan đến công tác xây dựng cơ sở dữ liệu địa chính</v>
      </c>
      <c r="C5" s="1161"/>
      <c r="D5" s="1161"/>
      <c r="E5" s="1161"/>
      <c r="F5" s="1162"/>
      <c r="G5" s="1162"/>
      <c r="H5" s="1222"/>
      <c r="I5" s="1220">
        <f>I6+I7</f>
        <v>60000</v>
      </c>
      <c r="J5" s="1159"/>
      <c r="K5" s="1159"/>
    </row>
    <row r="6" spans="1:12">
      <c r="A6" s="325"/>
      <c r="B6" s="258" t="s">
        <v>73</v>
      </c>
      <c r="C6" s="259" t="s">
        <v>130</v>
      </c>
      <c r="D6" s="259">
        <f>Gia_Tbi!$D$4</f>
        <v>0.4</v>
      </c>
      <c r="E6" s="259">
        <v>5</v>
      </c>
      <c r="F6" s="260">
        <f>Gia_Tbi!$F$4</f>
        <v>10000000</v>
      </c>
      <c r="G6" s="261">
        <f>Gia_Tbi!$G$4</f>
        <v>4000</v>
      </c>
      <c r="H6" s="1223">
        <f>'Nhan-cong-Trung Uong'!E4*80%</f>
        <v>12</v>
      </c>
      <c r="I6" s="1219">
        <f>$G6*H6</f>
        <v>48000</v>
      </c>
      <c r="J6" s="343"/>
      <c r="K6" s="342"/>
    </row>
    <row r="7" spans="1:12">
      <c r="A7" s="325"/>
      <c r="B7" s="258" t="s">
        <v>24</v>
      </c>
      <c r="C7" s="259" t="s">
        <v>130</v>
      </c>
      <c r="D7" s="259">
        <f>Gia_Tbi!$D$6</f>
        <v>2.2000000000000002</v>
      </c>
      <c r="E7" s="259">
        <v>8</v>
      </c>
      <c r="F7" s="260">
        <f>Gia_Tbi!$F$6</f>
        <v>12000000</v>
      </c>
      <c r="G7" s="261">
        <f>Gia_Tbi!$G$6</f>
        <v>3000</v>
      </c>
      <c r="H7" s="1223">
        <f>H6/3</f>
        <v>4</v>
      </c>
      <c r="I7" s="1219">
        <f>$G7*H7</f>
        <v>12000</v>
      </c>
      <c r="J7" s="343"/>
      <c r="K7" s="342"/>
    </row>
    <row r="8" spans="1:12">
      <c r="A8" s="325"/>
      <c r="B8" s="263" t="s">
        <v>8</v>
      </c>
      <c r="C8" s="264" t="s">
        <v>147</v>
      </c>
      <c r="D8" s="264">
        <v>0</v>
      </c>
      <c r="E8" s="265">
        <v>1</v>
      </c>
      <c r="F8" s="266">
        <f>Gia_Tbi!$F$13</f>
        <v>1686</v>
      </c>
      <c r="G8" s="267">
        <f>Gia_Tbi!$G$13</f>
        <v>13488</v>
      </c>
      <c r="H8" s="1224">
        <f>(H6*D6+H7*D7)</f>
        <v>13.600000000000001</v>
      </c>
      <c r="I8" s="1219">
        <f>$G8*H8</f>
        <v>183436.80000000002</v>
      </c>
      <c r="J8" s="343"/>
      <c r="K8" s="349">
        <f>I8</f>
        <v>183436.80000000002</v>
      </c>
      <c r="L8" s="350"/>
    </row>
    <row r="9" spans="1:12" s="257" customFormat="1" ht="63">
      <c r="A9" s="1160" t="str">
        <f>'Nhan-cong-Trung Uong'!A5</f>
        <v>1.2</v>
      </c>
      <c r="B9" s="1163" t="str">
        <f>'Nhan-cong-Trung Uong'!B5</f>
        <v xml:space="preserve">Chuẩn bị vật tư, thiết bị, dụng cụ, phần mềm cho công tác xây dựng cơ sở dữ liệu địa chính; Chuẩn bị nhân lực, địa điểm làm việc
</v>
      </c>
      <c r="C9" s="1163"/>
      <c r="D9" s="1163"/>
      <c r="E9" s="1163"/>
      <c r="F9" s="1164"/>
      <c r="G9" s="1164"/>
      <c r="H9" s="1225"/>
      <c r="I9" s="1220">
        <f>I10+I11</f>
        <v>80000</v>
      </c>
      <c r="J9" s="1159"/>
      <c r="K9" s="1159"/>
    </row>
    <row r="10" spans="1:12">
      <c r="A10" s="325"/>
      <c r="B10" s="258" t="s">
        <v>73</v>
      </c>
      <c r="C10" s="259" t="s">
        <v>130</v>
      </c>
      <c r="D10" s="259">
        <f>Gia_Tbi!$D$4</f>
        <v>0.4</v>
      </c>
      <c r="E10" s="259">
        <v>5</v>
      </c>
      <c r="F10" s="260">
        <f>Gia_Tbi!$F$4</f>
        <v>10000000</v>
      </c>
      <c r="G10" s="261">
        <f>Gia_Tbi!$G$4</f>
        <v>4000</v>
      </c>
      <c r="H10" s="1223">
        <f>'Nhan-cong-Trung Uong'!E5*80%</f>
        <v>16</v>
      </c>
      <c r="I10" s="1219">
        <f>$G10*H10</f>
        <v>64000</v>
      </c>
      <c r="J10" s="343"/>
      <c r="K10" s="342"/>
    </row>
    <row r="11" spans="1:12">
      <c r="A11" s="325"/>
      <c r="B11" s="258" t="s">
        <v>24</v>
      </c>
      <c r="C11" s="259" t="s">
        <v>130</v>
      </c>
      <c r="D11" s="259">
        <f>Gia_Tbi!$D$6</f>
        <v>2.2000000000000002</v>
      </c>
      <c r="E11" s="259">
        <v>8</v>
      </c>
      <c r="F11" s="260">
        <f>Gia_Tbi!$F$6</f>
        <v>12000000</v>
      </c>
      <c r="G11" s="261">
        <f>Gia_Tbi!$G$6</f>
        <v>3000</v>
      </c>
      <c r="H11" s="1223">
        <f>H10/3</f>
        <v>5.333333333333333</v>
      </c>
      <c r="I11" s="1219">
        <f>$G11*H11</f>
        <v>16000</v>
      </c>
      <c r="J11" s="343"/>
      <c r="K11" s="342"/>
    </row>
    <row r="12" spans="1:12">
      <c r="A12" s="325"/>
      <c r="B12" s="263" t="s">
        <v>8</v>
      </c>
      <c r="C12" s="264" t="s">
        <v>147</v>
      </c>
      <c r="D12" s="264">
        <v>0</v>
      </c>
      <c r="E12" s="265">
        <v>1</v>
      </c>
      <c r="F12" s="266">
        <f>Gia_Tbi!$F$13</f>
        <v>1686</v>
      </c>
      <c r="G12" s="267">
        <f>Gia_Tbi!$G$13</f>
        <v>13488</v>
      </c>
      <c r="H12" s="1224">
        <f>(H10*D10+H11*D11)</f>
        <v>18.133333333333333</v>
      </c>
      <c r="I12" s="1219">
        <f>$G12*H12</f>
        <v>244582.39999999999</v>
      </c>
      <c r="J12" s="343"/>
      <c r="K12" s="349">
        <f>I12</f>
        <v>244582.39999999999</v>
      </c>
      <c r="L12" s="350"/>
    </row>
    <row r="13" spans="1:12" s="257" customFormat="1" hidden="1">
      <c r="A13" s="1160" t="str">
        <f>'Nhan-cong-Trung Uong'!A6</f>
        <v>1.3</v>
      </c>
      <c r="B13" s="1163" t="str">
        <f>'Nhan-cong-Trung Uong'!B6</f>
        <v>Chuẩn bị nhân lực, địa điểm làm việc</v>
      </c>
      <c r="C13" s="1155"/>
      <c r="D13" s="1155"/>
      <c r="E13" s="1155"/>
      <c r="F13" s="1156"/>
      <c r="G13" s="1156"/>
      <c r="H13" s="1226"/>
      <c r="I13" s="1221">
        <f>I14+I15</f>
        <v>0</v>
      </c>
      <c r="J13" s="1159"/>
      <c r="K13" s="1159"/>
    </row>
    <row r="14" spans="1:12" hidden="1">
      <c r="A14" s="325"/>
      <c r="B14" s="258" t="s">
        <v>73</v>
      </c>
      <c r="C14" s="259" t="s">
        <v>130</v>
      </c>
      <c r="D14" s="259">
        <f>Gia_Tbi!$D$4</f>
        <v>0.4</v>
      </c>
      <c r="E14" s="259">
        <v>5</v>
      </c>
      <c r="F14" s="260">
        <f>Gia_Tbi!$F$4</f>
        <v>10000000</v>
      </c>
      <c r="G14" s="261">
        <f>Gia_Tbi!$G$4</f>
        <v>4000</v>
      </c>
      <c r="H14" s="1223">
        <f>'Nhan-cong-Trung Uong'!E6*80%</f>
        <v>0</v>
      </c>
      <c r="I14" s="1219">
        <f>$G14*H14</f>
        <v>0</v>
      </c>
      <c r="J14" s="343"/>
      <c r="K14" s="342"/>
    </row>
    <row r="15" spans="1:12" hidden="1">
      <c r="A15" s="325"/>
      <c r="B15" s="258" t="s">
        <v>24</v>
      </c>
      <c r="C15" s="259" t="s">
        <v>130</v>
      </c>
      <c r="D15" s="259">
        <f>Gia_Tbi!$D$6</f>
        <v>2.2000000000000002</v>
      </c>
      <c r="E15" s="259">
        <v>8</v>
      </c>
      <c r="F15" s="260">
        <f>Gia_Tbi!$F$6</f>
        <v>12000000</v>
      </c>
      <c r="G15" s="261">
        <f>Gia_Tbi!$G$6</f>
        <v>3000</v>
      </c>
      <c r="H15" s="1223">
        <f>H14/3</f>
        <v>0</v>
      </c>
      <c r="I15" s="1219">
        <f>$G15*H15</f>
        <v>0</v>
      </c>
      <c r="J15" s="343"/>
      <c r="K15" s="342"/>
    </row>
    <row r="16" spans="1:12" hidden="1">
      <c r="A16" s="325"/>
      <c r="B16" s="263" t="s">
        <v>8</v>
      </c>
      <c r="C16" s="264" t="s">
        <v>147</v>
      </c>
      <c r="D16" s="264">
        <v>0</v>
      </c>
      <c r="E16" s="265">
        <v>1</v>
      </c>
      <c r="F16" s="266">
        <f>Gia_Tbi!$F$13</f>
        <v>1686</v>
      </c>
      <c r="G16" s="267">
        <f>Gia_Tbi!$G$13</f>
        <v>13488</v>
      </c>
      <c r="H16" s="1224">
        <f>(H14*D14+H15*D15)</f>
        <v>0</v>
      </c>
      <c r="I16" s="1219">
        <f>$G16*H16</f>
        <v>0</v>
      </c>
      <c r="J16" s="343"/>
      <c r="K16" s="349">
        <f>I16</f>
        <v>0</v>
      </c>
      <c r="L16" s="350"/>
    </row>
    <row r="17" spans="1:12" s="257" customFormat="1">
      <c r="A17" s="326">
        <f>'Nhan-cong-Trung Uong'!A7</f>
        <v>2</v>
      </c>
      <c r="B17" s="268" t="str">
        <f>'Nhan-cong-Trung Uong'!B7</f>
        <v>Thu thập tài liệu, dữ liệu</v>
      </c>
      <c r="C17" s="1155"/>
      <c r="D17" s="1155"/>
      <c r="E17" s="1155"/>
      <c r="F17" s="1156"/>
      <c r="G17" s="1156"/>
      <c r="H17" s="1226"/>
      <c r="I17" s="1221">
        <f>I18+I19</f>
        <v>120000</v>
      </c>
      <c r="J17" s="1159"/>
      <c r="K17" s="1159"/>
    </row>
    <row r="18" spans="1:12">
      <c r="A18" s="325"/>
      <c r="B18" s="258" t="s">
        <v>73</v>
      </c>
      <c r="C18" s="259" t="s">
        <v>130</v>
      </c>
      <c r="D18" s="259">
        <f>Gia_Tbi!$D$4</f>
        <v>0.4</v>
      </c>
      <c r="E18" s="259">
        <v>5</v>
      </c>
      <c r="F18" s="260">
        <f>Gia_Tbi!$F$4</f>
        <v>10000000</v>
      </c>
      <c r="G18" s="261">
        <f>Gia_Tbi!$G$4</f>
        <v>4000</v>
      </c>
      <c r="H18" s="1223">
        <f>'Nhan-cong-Trung Uong'!E7*80%</f>
        <v>24</v>
      </c>
      <c r="I18" s="1219">
        <f>$G18*H18</f>
        <v>96000</v>
      </c>
      <c r="J18" s="343"/>
      <c r="K18" s="342"/>
    </row>
    <row r="19" spans="1:12">
      <c r="A19" s="325"/>
      <c r="B19" s="258" t="s">
        <v>24</v>
      </c>
      <c r="C19" s="259" t="s">
        <v>130</v>
      </c>
      <c r="D19" s="259">
        <f>Gia_Tbi!$D$6</f>
        <v>2.2000000000000002</v>
      </c>
      <c r="E19" s="259">
        <v>8</v>
      </c>
      <c r="F19" s="260">
        <f>Gia_Tbi!$F$6</f>
        <v>12000000</v>
      </c>
      <c r="G19" s="261">
        <f>Gia_Tbi!$G$6</f>
        <v>3000</v>
      </c>
      <c r="H19" s="1223">
        <f>H18/3</f>
        <v>8</v>
      </c>
      <c r="I19" s="1219">
        <f>$G19*H19</f>
        <v>24000</v>
      </c>
      <c r="J19" s="343"/>
      <c r="K19" s="342"/>
    </row>
    <row r="20" spans="1:12">
      <c r="A20" s="325"/>
      <c r="B20" s="263" t="s">
        <v>8</v>
      </c>
      <c r="C20" s="264" t="s">
        <v>147</v>
      </c>
      <c r="D20" s="264">
        <v>0</v>
      </c>
      <c r="E20" s="265">
        <v>1</v>
      </c>
      <c r="F20" s="266">
        <f>Gia_Tbi!$F$13</f>
        <v>1686</v>
      </c>
      <c r="G20" s="267">
        <f>Gia_Tbi!$G$13</f>
        <v>13488</v>
      </c>
      <c r="H20" s="1224">
        <f>(H18*D18+H19*D19)</f>
        <v>27.200000000000003</v>
      </c>
      <c r="I20" s="1219">
        <f>$G20*H20</f>
        <v>366873.60000000003</v>
      </c>
      <c r="J20" s="343"/>
      <c r="K20" s="349">
        <f>I20</f>
        <v>366873.60000000003</v>
      </c>
      <c r="L20" s="350"/>
    </row>
    <row r="21" spans="1:12" s="257" customFormat="1">
      <c r="A21" s="326">
        <f>'Nhan-cong-Trung Uong'!A8</f>
        <v>3</v>
      </c>
      <c r="B21" s="268" t="str">
        <f>'Nhan-cong-Trung Uong'!B8</f>
        <v>Xây dựng dữ liệu không gian</v>
      </c>
      <c r="C21" s="1155"/>
      <c r="D21" s="1155"/>
      <c r="E21" s="1155"/>
      <c r="F21" s="1156"/>
      <c r="G21" s="1156"/>
      <c r="H21" s="1226"/>
      <c r="I21" s="1221"/>
      <c r="J21" s="1159"/>
      <c r="K21" s="1159"/>
    </row>
    <row r="22" spans="1:12" s="257" customFormat="1" ht="31.5">
      <c r="A22" s="1165"/>
      <c r="B22" s="1166" t="str">
        <f>'Nhan-cong-Trung Uong'!B10</f>
        <v>Tách, lọc và chuẩn hóa các lớp đối tượng biên giới, địa giới; thủy hệ; giao thông; địa danh và ghi chú</v>
      </c>
      <c r="C22" s="1155"/>
      <c r="D22" s="1155"/>
      <c r="E22" s="1155"/>
      <c r="F22" s="1156"/>
      <c r="G22" s="1156"/>
      <c r="H22" s="1226"/>
      <c r="I22" s="1221">
        <f>I23+I24</f>
        <v>6000.0000000000009</v>
      </c>
      <c r="J22" s="1159"/>
      <c r="K22" s="1159"/>
    </row>
    <row r="23" spans="1:12">
      <c r="A23" s="325"/>
      <c r="B23" s="258" t="s">
        <v>73</v>
      </c>
      <c r="C23" s="259" t="s">
        <v>130</v>
      </c>
      <c r="D23" s="259">
        <f>Gia_Tbi!$D$4</f>
        <v>0.4</v>
      </c>
      <c r="E23" s="259">
        <v>5</v>
      </c>
      <c r="F23" s="260">
        <f>Gia_Tbi!$F$4</f>
        <v>10000000</v>
      </c>
      <c r="G23" s="261">
        <f>Gia_Tbi!$G$4</f>
        <v>4000</v>
      </c>
      <c r="H23" s="1223">
        <f>'Nhan-cong-Trung Uong'!E10*80%</f>
        <v>1.2000000000000002</v>
      </c>
      <c r="I23" s="1219">
        <f>$G23*H23</f>
        <v>4800.0000000000009</v>
      </c>
      <c r="J23" s="343"/>
      <c r="K23" s="342"/>
    </row>
    <row r="24" spans="1:12">
      <c r="A24" s="325"/>
      <c r="B24" s="258" t="s">
        <v>24</v>
      </c>
      <c r="C24" s="259" t="s">
        <v>130</v>
      </c>
      <c r="D24" s="259">
        <f>Gia_Tbi!$D$6</f>
        <v>2.2000000000000002</v>
      </c>
      <c r="E24" s="259">
        <v>8</v>
      </c>
      <c r="F24" s="260">
        <f>Gia_Tbi!$F$6</f>
        <v>12000000</v>
      </c>
      <c r="G24" s="261">
        <f>Gia_Tbi!$G$6</f>
        <v>3000</v>
      </c>
      <c r="H24" s="1223">
        <f>H23/3</f>
        <v>0.40000000000000008</v>
      </c>
      <c r="I24" s="1219">
        <f>$G24*H24</f>
        <v>1200.0000000000002</v>
      </c>
      <c r="J24" s="343"/>
      <c r="K24" s="342"/>
    </row>
    <row r="25" spans="1:12">
      <c r="A25" s="325"/>
      <c r="B25" s="263" t="s">
        <v>8</v>
      </c>
      <c r="C25" s="264" t="s">
        <v>147</v>
      </c>
      <c r="D25" s="264">
        <v>0</v>
      </c>
      <c r="E25" s="265">
        <v>1</v>
      </c>
      <c r="F25" s="266">
        <f>Gia_Tbi!$F$13</f>
        <v>1686</v>
      </c>
      <c r="G25" s="267">
        <f>Gia_Tbi!$G$13</f>
        <v>13488</v>
      </c>
      <c r="H25" s="1224">
        <f>(H23*D23+H24*D24)</f>
        <v>1.3600000000000003</v>
      </c>
      <c r="I25" s="1219">
        <f>$G25*H25</f>
        <v>18343.680000000004</v>
      </c>
      <c r="J25" s="343"/>
      <c r="K25" s="349">
        <f>I25</f>
        <v>18343.680000000004</v>
      </c>
      <c r="L25" s="350"/>
    </row>
    <row r="26" spans="1:12" s="257" customFormat="1" ht="94.5">
      <c r="A26" s="1165"/>
      <c r="B26" s="1166" t="str">
        <f>'Nhan-cong-Trung Uong'!B11</f>
        <v>Gộp các thành phần tiếp giáp nhau của cùng một đối tượng thuộc các lớp dữ liệu nền không gian cả nước thành một đối tượng duy nhất phù hợp với thông tin thuộc tính của đối tượng theo phạm vi cả nước;  xử lý tiếp biên dữ liệu nền không gian cả nước của các đơn vị hành chính</v>
      </c>
      <c r="C26" s="1155"/>
      <c r="D26" s="1155"/>
      <c r="E26" s="1155"/>
      <c r="F26" s="1156"/>
      <c r="G26" s="1156"/>
      <c r="H26" s="1226"/>
      <c r="I26" s="1221">
        <f>I27+I28</f>
        <v>1333.3333333333335</v>
      </c>
      <c r="J26" s="1159"/>
      <c r="K26" s="1159"/>
    </row>
    <row r="27" spans="1:12">
      <c r="A27" s="325"/>
      <c r="B27" s="258" t="s">
        <v>73</v>
      </c>
      <c r="C27" s="259" t="s">
        <v>130</v>
      </c>
      <c r="D27" s="259">
        <f>Gia_Tbi!$D$4</f>
        <v>0.4</v>
      </c>
      <c r="E27" s="259">
        <v>5</v>
      </c>
      <c r="F27" s="260">
        <f>Gia_Tbi!$F$4</f>
        <v>10000000</v>
      </c>
      <c r="G27" s="261">
        <f>Gia_Tbi!$G$4</f>
        <v>4000</v>
      </c>
      <c r="H27" s="1223">
        <f>'Nhan-cong-Trung Uong'!E11*80%</f>
        <v>0.26666666666666666</v>
      </c>
      <c r="I27" s="1219">
        <f>$G27*H27</f>
        <v>1066.6666666666667</v>
      </c>
      <c r="J27" s="343"/>
      <c r="K27" s="342"/>
    </row>
    <row r="28" spans="1:12">
      <c r="A28" s="325"/>
      <c r="B28" s="258" t="s">
        <v>24</v>
      </c>
      <c r="C28" s="259" t="s">
        <v>130</v>
      </c>
      <c r="D28" s="259">
        <f>Gia_Tbi!$D$6</f>
        <v>2.2000000000000002</v>
      </c>
      <c r="E28" s="259">
        <v>8</v>
      </c>
      <c r="F28" s="260">
        <f>Gia_Tbi!$F$6</f>
        <v>12000000</v>
      </c>
      <c r="G28" s="261">
        <f>Gia_Tbi!$G$6</f>
        <v>3000</v>
      </c>
      <c r="H28" s="1223">
        <f>H27/3</f>
        <v>8.8888888888888892E-2</v>
      </c>
      <c r="I28" s="1219">
        <f>$G28*H28</f>
        <v>266.66666666666669</v>
      </c>
      <c r="J28" s="343"/>
      <c r="K28" s="342"/>
    </row>
    <row r="29" spans="1:12">
      <c r="A29" s="325"/>
      <c r="B29" s="263" t="s">
        <v>8</v>
      </c>
      <c r="C29" s="264" t="s">
        <v>147</v>
      </c>
      <c r="D29" s="264">
        <v>0</v>
      </c>
      <c r="E29" s="265">
        <v>1</v>
      </c>
      <c r="F29" s="266">
        <f>Gia_Tbi!$F$13</f>
        <v>1686</v>
      </c>
      <c r="G29" s="267">
        <f>Gia_Tbi!$G$13</f>
        <v>13488</v>
      </c>
      <c r="H29" s="1224">
        <f>(H27*D27+H28*D28)</f>
        <v>0.30222222222222223</v>
      </c>
      <c r="I29" s="1219">
        <f>$G29*H29</f>
        <v>4076.3733333333334</v>
      </c>
      <c r="J29" s="343"/>
      <c r="K29" s="349">
        <f>I29</f>
        <v>4076.3733333333334</v>
      </c>
      <c r="L29" s="350"/>
    </row>
    <row r="30" spans="1:12" s="257" customFormat="1" ht="47.25">
      <c r="A30" s="1165"/>
      <c r="B30" s="1166" t="str">
        <f>'Nhan-cong-Trung Uong'!B12</f>
        <v xml:space="preserve">Chuyển đổi các lớp đối tượng nền không gian cả nước từ tệp (File) bản đồ số vào cơ sở dữ liệu
</v>
      </c>
      <c r="C30" s="1155"/>
      <c r="D30" s="1155"/>
      <c r="E30" s="1155"/>
      <c r="F30" s="1156"/>
      <c r="G30" s="1156"/>
      <c r="H30" s="1226"/>
      <c r="I30" s="1221">
        <f>I31+I32</f>
        <v>30.349013657056148</v>
      </c>
      <c r="J30" s="1159"/>
      <c r="K30" s="1159"/>
    </row>
    <row r="31" spans="1:12">
      <c r="A31" s="325"/>
      <c r="B31" s="258" t="s">
        <v>73</v>
      </c>
      <c r="C31" s="259" t="s">
        <v>130</v>
      </c>
      <c r="D31" s="259">
        <f>Gia_Tbi!$D$4</f>
        <v>0.4</v>
      </c>
      <c r="E31" s="259">
        <v>5</v>
      </c>
      <c r="F31" s="260">
        <f>Gia_Tbi!$F$4</f>
        <v>10000000</v>
      </c>
      <c r="G31" s="261">
        <f>Gia_Tbi!$G$4</f>
        <v>4000</v>
      </c>
      <c r="H31" s="1223">
        <f>'Nhan-cong-Trung Uong'!E12*80%</f>
        <v>6.0698027314112293E-3</v>
      </c>
      <c r="I31" s="1219">
        <f>$G31*H31</f>
        <v>24.279210925644918</v>
      </c>
      <c r="J31" s="343"/>
      <c r="K31" s="342"/>
    </row>
    <row r="32" spans="1:12">
      <c r="A32" s="325"/>
      <c r="B32" s="258" t="s">
        <v>24</v>
      </c>
      <c r="C32" s="259" t="s">
        <v>130</v>
      </c>
      <c r="D32" s="259">
        <f>Gia_Tbi!$D$6</f>
        <v>2.2000000000000002</v>
      </c>
      <c r="E32" s="259">
        <v>8</v>
      </c>
      <c r="F32" s="260">
        <f>Gia_Tbi!$F$6</f>
        <v>12000000</v>
      </c>
      <c r="G32" s="261">
        <f>Gia_Tbi!$G$6</f>
        <v>3000</v>
      </c>
      <c r="H32" s="1223">
        <f>H31/3</f>
        <v>2.0232675771370764E-3</v>
      </c>
      <c r="I32" s="1219">
        <f>$G32*H32</f>
        <v>6.0698027314112295</v>
      </c>
      <c r="J32" s="343"/>
      <c r="K32" s="342"/>
    </row>
    <row r="33" spans="1:12">
      <c r="A33" s="325"/>
      <c r="B33" s="263" t="s">
        <v>8</v>
      </c>
      <c r="C33" s="264" t="s">
        <v>147</v>
      </c>
      <c r="D33" s="264">
        <v>0</v>
      </c>
      <c r="E33" s="265">
        <v>1</v>
      </c>
      <c r="F33" s="266">
        <f>Gia_Tbi!$F$13</f>
        <v>1686</v>
      </c>
      <c r="G33" s="267">
        <f>Gia_Tbi!$G$13</f>
        <v>13488</v>
      </c>
      <c r="H33" s="1224">
        <f>(H31*D31+H32*D32)</f>
        <v>6.8791097622660606E-3</v>
      </c>
      <c r="I33" s="1219">
        <f>$G33*H33</f>
        <v>92.785432473444629</v>
      </c>
      <c r="J33" s="343"/>
      <c r="K33" s="349">
        <f>I33</f>
        <v>92.785432473444629</v>
      </c>
      <c r="L33" s="350"/>
    </row>
    <row r="34" spans="1:12" s="257" customFormat="1">
      <c r="A34" s="326">
        <f>'Nhan-cong-Trung Uong'!A13</f>
        <v>4</v>
      </c>
      <c r="B34" s="268" t="str">
        <f>'Nhan-cong-Trung Uong'!B13</f>
        <v>Xây dựng dữ liệu thuộc tính</v>
      </c>
      <c r="C34" s="1155"/>
      <c r="D34" s="1155"/>
      <c r="E34" s="1155"/>
      <c r="F34" s="1156"/>
      <c r="G34" s="1156"/>
      <c r="H34" s="1226"/>
      <c r="I34" s="1221"/>
      <c r="J34" s="1159"/>
      <c r="K34" s="1159"/>
    </row>
    <row r="35" spans="1:12" s="257" customFormat="1" ht="63">
      <c r="A35" s="1160" t="str">
        <f>'Nhan-cong-Trung Uong'!A14</f>
        <v>4.1</v>
      </c>
      <c r="B35" s="1163" t="str">
        <f>'Nhan-cong-Trung Uong'!B14</f>
        <v>Chiết xuất dữ liệu tổng hợp về đo đạc lập bản đồ địa chính, đăng ký đất đai, cấp Giấy chứng nhận quyền sử dụng đất, quyền sở hữu nhà ở và tài sản khác gắn liền với đất, lập hồ sơ địa chính từ cơ sở dữ liệu đất đai</v>
      </c>
      <c r="C35" s="1155"/>
      <c r="D35" s="1155"/>
      <c r="E35" s="1155"/>
      <c r="F35" s="1156"/>
      <c r="G35" s="1156"/>
      <c r="H35" s="1226"/>
      <c r="I35" s="1221">
        <f>I36+I37</f>
        <v>100000</v>
      </c>
      <c r="J35" s="1159"/>
      <c r="K35" s="1159"/>
    </row>
    <row r="36" spans="1:12">
      <c r="A36" s="325"/>
      <c r="B36" s="258" t="s">
        <v>73</v>
      </c>
      <c r="C36" s="259" t="s">
        <v>130</v>
      </c>
      <c r="D36" s="259">
        <f>Gia_Tbi!$D$4</f>
        <v>0.4</v>
      </c>
      <c r="E36" s="259">
        <v>5</v>
      </c>
      <c r="F36" s="260">
        <f>Gia_Tbi!$F$4</f>
        <v>10000000</v>
      </c>
      <c r="G36" s="261">
        <f>Gia_Tbi!$G$4</f>
        <v>4000</v>
      </c>
      <c r="H36" s="1223">
        <f>'Nhan-cong-Trung Uong'!E14*80%</f>
        <v>20</v>
      </c>
      <c r="I36" s="1219">
        <f>$G36*H36</f>
        <v>80000</v>
      </c>
      <c r="J36" s="343"/>
      <c r="K36" s="342"/>
    </row>
    <row r="37" spans="1:12">
      <c r="A37" s="325"/>
      <c r="B37" s="258" t="s">
        <v>24</v>
      </c>
      <c r="C37" s="259" t="s">
        <v>130</v>
      </c>
      <c r="D37" s="259">
        <f>Gia_Tbi!$D$6</f>
        <v>2.2000000000000002</v>
      </c>
      <c r="E37" s="259">
        <v>8</v>
      </c>
      <c r="F37" s="260">
        <f>Gia_Tbi!$F$6</f>
        <v>12000000</v>
      </c>
      <c r="G37" s="261">
        <f>Gia_Tbi!$G$6</f>
        <v>3000</v>
      </c>
      <c r="H37" s="1223">
        <f>H36/3</f>
        <v>6.666666666666667</v>
      </c>
      <c r="I37" s="1219">
        <f>$G37*H37</f>
        <v>20000</v>
      </c>
      <c r="J37" s="343"/>
      <c r="K37" s="342"/>
    </row>
    <row r="38" spans="1:12">
      <c r="A38" s="325"/>
      <c r="B38" s="263" t="s">
        <v>8</v>
      </c>
      <c r="C38" s="264" t="s">
        <v>147</v>
      </c>
      <c r="D38" s="264">
        <v>0</v>
      </c>
      <c r="E38" s="265">
        <v>1</v>
      </c>
      <c r="F38" s="266">
        <f>Gia_Tbi!$F$13</f>
        <v>1686</v>
      </c>
      <c r="G38" s="267">
        <f>Gia_Tbi!$G$13</f>
        <v>13488</v>
      </c>
      <c r="H38" s="1224">
        <f>(H36*D36+H37*D37)</f>
        <v>22.666666666666668</v>
      </c>
      <c r="I38" s="1219">
        <f>$G38*H38</f>
        <v>305728</v>
      </c>
      <c r="J38" s="343"/>
      <c r="K38" s="349">
        <f>I38</f>
        <v>305728</v>
      </c>
      <c r="L38" s="350"/>
    </row>
    <row r="39" spans="1:12" s="257" customFormat="1" ht="94.5">
      <c r="A39" s="1160" t="str">
        <f>'Nhan-cong-Trung Uong'!A15</f>
        <v>4.2</v>
      </c>
      <c r="B39" s="1163" t="str">
        <f>'Nhan-cong-Trung Uong'!B15</f>
        <v>Nhập, chuyển đổi dữ liệu, tài liệu tổng hợp về đo đạc lập bản đồ địa chính, đăng ký đất đai, cấp Giấy chứng nhận quyền sử dụng đất, quyền sở hữu nhà ở và tài sản khác gắn liền với đất, lập hồ sơ địa chính của các tỉnh, thành phố trực thuộc Trung ương (đối với các địa bàn chưa vận hành cơ sở dữ liệu đất đai tập trung)</v>
      </c>
      <c r="C39" s="1155"/>
      <c r="D39" s="1155"/>
      <c r="E39" s="1155"/>
      <c r="F39" s="1156"/>
      <c r="G39" s="1156"/>
      <c r="H39" s="1226"/>
      <c r="I39" s="1221">
        <f>I40+I41+I42+I43+I44</f>
        <v>1765333.3333333333</v>
      </c>
      <c r="J39" s="1159"/>
      <c r="K39" s="1159"/>
    </row>
    <row r="40" spans="1:12">
      <c r="A40" s="325"/>
      <c r="B40" s="258" t="s">
        <v>73</v>
      </c>
      <c r="C40" s="291" t="s">
        <v>26</v>
      </c>
      <c r="D40" s="291">
        <f>Gia_Tbi!D4</f>
        <v>0.4</v>
      </c>
      <c r="E40" s="292">
        <f>Gia_Tbi!E4</f>
        <v>5</v>
      </c>
      <c r="F40" s="293">
        <f>Gia_Tbi!F4</f>
        <v>10000000</v>
      </c>
      <c r="G40" s="293">
        <f>Gia_Tbi!G4</f>
        <v>4000</v>
      </c>
      <c r="H40" s="1227">
        <f>'Nhan-cong-Trung Uong'!E15*80%</f>
        <v>80</v>
      </c>
      <c r="I40" s="1219">
        <f t="shared" ref="I40:I45" si="0">$G40*H40</f>
        <v>320000</v>
      </c>
      <c r="J40" s="343"/>
      <c r="K40" s="342"/>
    </row>
    <row r="41" spans="1:12">
      <c r="A41" s="325"/>
      <c r="B41" s="258" t="s">
        <v>74</v>
      </c>
      <c r="C41" s="291" t="s">
        <v>26</v>
      </c>
      <c r="D41" s="291">
        <f>Gia_Tbi!D5</f>
        <v>0.6</v>
      </c>
      <c r="E41" s="292">
        <f>Gia_Tbi!E5</f>
        <v>5</v>
      </c>
      <c r="F41" s="293">
        <f>Gia_Tbi!F5</f>
        <v>2500000</v>
      </c>
      <c r="G41" s="293">
        <f>Gia_Tbi!G5</f>
        <v>1000</v>
      </c>
      <c r="H41" s="1227">
        <f>H40/15</f>
        <v>5.333333333333333</v>
      </c>
      <c r="I41" s="1219">
        <f t="shared" si="0"/>
        <v>5333.333333333333</v>
      </c>
      <c r="J41" s="343"/>
      <c r="K41" s="342"/>
    </row>
    <row r="42" spans="1:12">
      <c r="A42" s="325"/>
      <c r="B42" s="258" t="s">
        <v>24</v>
      </c>
      <c r="C42" s="291" t="s">
        <v>26</v>
      </c>
      <c r="D42" s="291">
        <f>Gia_Tbi!D6</f>
        <v>2.2000000000000002</v>
      </c>
      <c r="E42" s="292">
        <f>Gia_Tbi!E6</f>
        <v>8</v>
      </c>
      <c r="F42" s="293">
        <f>Gia_Tbi!F6</f>
        <v>12000000</v>
      </c>
      <c r="G42" s="293">
        <f>Gia_Tbi!G6</f>
        <v>3000</v>
      </c>
      <c r="H42" s="1227">
        <f>H40/3</f>
        <v>26.666666666666668</v>
      </c>
      <c r="I42" s="1219">
        <f t="shared" si="0"/>
        <v>80000</v>
      </c>
      <c r="J42" s="343"/>
      <c r="K42" s="342"/>
    </row>
    <row r="43" spans="1:12">
      <c r="A43" s="333"/>
      <c r="B43" s="295" t="s">
        <v>129</v>
      </c>
      <c r="C43" s="291" t="s">
        <v>130</v>
      </c>
      <c r="D43" s="291">
        <f>Gia_Tbi!D10</f>
        <v>1</v>
      </c>
      <c r="E43" s="292">
        <f>Gia_Tbi!E10</f>
        <v>10</v>
      </c>
      <c r="F43" s="293">
        <f>Gia_Tbi!F7</f>
        <v>44000000</v>
      </c>
      <c r="G43" s="293">
        <f>Gia_Tbi!G10</f>
        <v>16000</v>
      </c>
      <c r="H43" s="1228">
        <f>H40</f>
        <v>80</v>
      </c>
      <c r="I43" s="1219">
        <f t="shared" si="0"/>
        <v>1280000</v>
      </c>
      <c r="J43" s="343"/>
      <c r="K43" s="342"/>
    </row>
    <row r="44" spans="1:12">
      <c r="A44" s="333"/>
      <c r="B44" s="295" t="s">
        <v>131</v>
      </c>
      <c r="C44" s="291" t="s">
        <v>130</v>
      </c>
      <c r="D44" s="291">
        <v>0.1</v>
      </c>
      <c r="E44" s="292">
        <f>Gia_Tbi!E12</f>
        <v>5</v>
      </c>
      <c r="F44" s="293">
        <f>Gia_Tbi!F12</f>
        <v>2500000</v>
      </c>
      <c r="G44" s="293">
        <f>Gia_Tbi!G12</f>
        <v>1000</v>
      </c>
      <c r="H44" s="1228">
        <f>H40</f>
        <v>80</v>
      </c>
      <c r="I44" s="1219">
        <f t="shared" si="0"/>
        <v>80000</v>
      </c>
      <c r="J44" s="343"/>
      <c r="K44" s="342"/>
    </row>
    <row r="45" spans="1:12">
      <c r="A45" s="332"/>
      <c r="B45" s="263" t="s">
        <v>8</v>
      </c>
      <c r="C45" s="291" t="s">
        <v>97</v>
      </c>
      <c r="D45" s="291">
        <f>Gia_Tbi!D13</f>
        <v>0</v>
      </c>
      <c r="E45" s="265">
        <v>1</v>
      </c>
      <c r="F45" s="293">
        <f>Gia_Tbi!F13</f>
        <v>1686</v>
      </c>
      <c r="G45" s="293">
        <f>Gia_Tbi!G13</f>
        <v>13488</v>
      </c>
      <c r="H45" s="1224">
        <f>(H40*D40+H41*D41+H42*D42+D43*H43+D44*H44)</f>
        <v>181.86666666666667</v>
      </c>
      <c r="I45" s="1219">
        <f t="shared" si="0"/>
        <v>2453017.6000000001</v>
      </c>
      <c r="J45" s="343"/>
      <c r="K45" s="342">
        <f>I45</f>
        <v>2453017.6000000001</v>
      </c>
      <c r="L45" s="350"/>
    </row>
    <row r="46" spans="1:12" s="257" customFormat="1">
      <c r="A46" s="326">
        <f>'Nhan-cong-Trung Uong'!A16</f>
        <v>5</v>
      </c>
      <c r="B46" s="268" t="str">
        <f>'Nhan-cong-Trung Uong'!B16</f>
        <v>Đối soát, hoàn thiện dữ liệu và xây dựng siêu dữ liệu</v>
      </c>
      <c r="C46" s="1155"/>
      <c r="D46" s="1155"/>
      <c r="E46" s="1155"/>
      <c r="F46" s="1156"/>
      <c r="G46" s="1156"/>
      <c r="H46" s="1226"/>
      <c r="I46" s="1221"/>
      <c r="J46" s="1159"/>
      <c r="K46" s="1159"/>
    </row>
    <row r="47" spans="1:12" s="257" customFormat="1">
      <c r="A47" s="1160" t="str">
        <f>'Nhan-cong-Trung Uong'!A17</f>
        <v>5.1</v>
      </c>
      <c r="B47" s="1163" t="str">
        <f>'Nhan-cong-Trung Uong'!B17</f>
        <v>Thực hiện đối soát, hoàn thiện dữ liệu, tạo liên kết dữ liệu</v>
      </c>
      <c r="C47" s="1155"/>
      <c r="D47" s="1155"/>
      <c r="E47" s="1155"/>
      <c r="F47" s="1156"/>
      <c r="G47" s="1156"/>
      <c r="H47" s="1226"/>
      <c r="I47" s="1221">
        <f>I48+I49</f>
        <v>100000</v>
      </c>
      <c r="J47" s="1159"/>
      <c r="K47" s="1159"/>
    </row>
    <row r="48" spans="1:12">
      <c r="A48" s="325"/>
      <c r="B48" s="258" t="s">
        <v>73</v>
      </c>
      <c r="C48" s="259" t="s">
        <v>130</v>
      </c>
      <c r="D48" s="259">
        <f>Gia_Tbi!$D$4</f>
        <v>0.4</v>
      </c>
      <c r="E48" s="259">
        <v>5</v>
      </c>
      <c r="F48" s="260">
        <f>Gia_Tbi!$F$4</f>
        <v>10000000</v>
      </c>
      <c r="G48" s="261">
        <f>Gia_Tbi!$G$4</f>
        <v>4000</v>
      </c>
      <c r="H48" s="1223">
        <f>'Nhan-cong-Trung Uong'!E17*80%</f>
        <v>20</v>
      </c>
      <c r="I48" s="1219">
        <f>$G48*H48</f>
        <v>80000</v>
      </c>
      <c r="J48" s="343"/>
      <c r="K48" s="342"/>
    </row>
    <row r="49" spans="1:12">
      <c r="A49" s="325"/>
      <c r="B49" s="258" t="s">
        <v>24</v>
      </c>
      <c r="C49" s="259" t="s">
        <v>130</v>
      </c>
      <c r="D49" s="259">
        <f>Gia_Tbi!$D$6</f>
        <v>2.2000000000000002</v>
      </c>
      <c r="E49" s="259">
        <v>8</v>
      </c>
      <c r="F49" s="260">
        <f>Gia_Tbi!$F$6</f>
        <v>12000000</v>
      </c>
      <c r="G49" s="261">
        <f>Gia_Tbi!$G$6</f>
        <v>3000</v>
      </c>
      <c r="H49" s="1223">
        <f>H48/3</f>
        <v>6.666666666666667</v>
      </c>
      <c r="I49" s="1219">
        <f>$G49*H49</f>
        <v>20000</v>
      </c>
      <c r="J49" s="343"/>
      <c r="K49" s="342"/>
    </row>
    <row r="50" spans="1:12">
      <c r="A50" s="325"/>
      <c r="B50" s="263" t="s">
        <v>8</v>
      </c>
      <c r="C50" s="264" t="s">
        <v>147</v>
      </c>
      <c r="D50" s="264">
        <v>0</v>
      </c>
      <c r="E50" s="265">
        <v>1</v>
      </c>
      <c r="F50" s="266">
        <f>Gia_Tbi!$F$13</f>
        <v>1686</v>
      </c>
      <c r="G50" s="267">
        <f>Gia_Tbi!$G$13</f>
        <v>13488</v>
      </c>
      <c r="H50" s="1224">
        <f>(H48*D48+H49*D49)</f>
        <v>22.666666666666668</v>
      </c>
      <c r="I50" s="1219">
        <f>$G50*H50</f>
        <v>305728</v>
      </c>
      <c r="J50" s="343"/>
      <c r="K50" s="349">
        <f>I50</f>
        <v>305728</v>
      </c>
      <c r="L50" s="350"/>
    </row>
    <row r="51" spans="1:12" s="257" customFormat="1" ht="31.5">
      <c r="A51" s="1160" t="str">
        <f>'Nhan-cong-Trung Uong'!A18</f>
        <v>5.2</v>
      </c>
      <c r="B51" s="1163" t="str">
        <f>'Nhan-cong-Trung Uong'!B18</f>
        <v>Thu nhận các thông tin cần thiết về các dữ liệu để xây dựng siêu dữ liệu</v>
      </c>
      <c r="C51" s="1155"/>
      <c r="D51" s="1155"/>
      <c r="E51" s="1155"/>
      <c r="F51" s="1156"/>
      <c r="G51" s="1156"/>
      <c r="H51" s="1226"/>
      <c r="I51" s="1221">
        <f>I52+I53</f>
        <v>120000</v>
      </c>
      <c r="J51" s="1159"/>
      <c r="K51" s="1159"/>
    </row>
    <row r="52" spans="1:12">
      <c r="A52" s="325"/>
      <c r="B52" s="258" t="s">
        <v>73</v>
      </c>
      <c r="C52" s="259" t="s">
        <v>130</v>
      </c>
      <c r="D52" s="259">
        <f>Gia_Tbi!$D$4</f>
        <v>0.4</v>
      </c>
      <c r="E52" s="259">
        <v>5</v>
      </c>
      <c r="F52" s="260">
        <f>Gia_Tbi!$F$4</f>
        <v>10000000</v>
      </c>
      <c r="G52" s="261">
        <f>Gia_Tbi!$G$4</f>
        <v>4000</v>
      </c>
      <c r="H52" s="1223">
        <f>'Nhan-cong-Trung Uong'!E18*80%</f>
        <v>24</v>
      </c>
      <c r="I52" s="1219">
        <f>$G52*H52</f>
        <v>96000</v>
      </c>
      <c r="J52" s="343"/>
      <c r="K52" s="342"/>
    </row>
    <row r="53" spans="1:12">
      <c r="A53" s="325"/>
      <c r="B53" s="258" t="s">
        <v>24</v>
      </c>
      <c r="C53" s="259" t="s">
        <v>130</v>
      </c>
      <c r="D53" s="259">
        <f>Gia_Tbi!$D$6</f>
        <v>2.2000000000000002</v>
      </c>
      <c r="E53" s="259">
        <v>8</v>
      </c>
      <c r="F53" s="260">
        <f>Gia_Tbi!$F$6</f>
        <v>12000000</v>
      </c>
      <c r="G53" s="261">
        <f>Gia_Tbi!$G$6</f>
        <v>3000</v>
      </c>
      <c r="H53" s="1223">
        <f>H52/3</f>
        <v>8</v>
      </c>
      <c r="I53" s="1219">
        <f>$G53*H53</f>
        <v>24000</v>
      </c>
      <c r="J53" s="343"/>
      <c r="K53" s="342"/>
    </row>
    <row r="54" spans="1:12">
      <c r="A54" s="325"/>
      <c r="B54" s="263" t="s">
        <v>8</v>
      </c>
      <c r="C54" s="264" t="s">
        <v>147</v>
      </c>
      <c r="D54" s="264">
        <v>0</v>
      </c>
      <c r="E54" s="265">
        <v>1</v>
      </c>
      <c r="F54" s="266">
        <f>Gia_Tbi!$F$13</f>
        <v>1686</v>
      </c>
      <c r="G54" s="267">
        <f>Gia_Tbi!$G$13</f>
        <v>13488</v>
      </c>
      <c r="H54" s="1224">
        <f>(H52*D52+H53*D53)</f>
        <v>27.200000000000003</v>
      </c>
      <c r="I54" s="1219">
        <f>$G54*H54</f>
        <v>366873.60000000003</v>
      </c>
      <c r="J54" s="343"/>
      <c r="K54" s="349">
        <f>I54</f>
        <v>366873.60000000003</v>
      </c>
      <c r="L54" s="350"/>
    </row>
    <row r="55" spans="1:12" s="257" customFormat="1">
      <c r="A55" s="1160" t="str">
        <f>'Nhan-cong-Trung Uong'!A19</f>
        <v>5.3</v>
      </c>
      <c r="B55" s="1163" t="str">
        <f>'Nhan-cong-Trung Uong'!B19</f>
        <v>Nhập thông tin siêu dữ liệu</v>
      </c>
      <c r="C55" s="1155"/>
      <c r="D55" s="1155"/>
      <c r="E55" s="1155"/>
      <c r="F55" s="1156"/>
      <c r="G55" s="1156"/>
      <c r="H55" s="1226"/>
      <c r="I55" s="1221">
        <f>I56+I57</f>
        <v>12000.000000000002</v>
      </c>
      <c r="J55" s="1159"/>
      <c r="K55" s="1159"/>
    </row>
    <row r="56" spans="1:12">
      <c r="A56" s="325"/>
      <c r="B56" s="258" t="s">
        <v>73</v>
      </c>
      <c r="C56" s="259" t="s">
        <v>130</v>
      </c>
      <c r="D56" s="259">
        <f>Gia_Tbi!$D$4</f>
        <v>0.4</v>
      </c>
      <c r="E56" s="259">
        <v>5</v>
      </c>
      <c r="F56" s="260">
        <f>Gia_Tbi!$F$4</f>
        <v>10000000</v>
      </c>
      <c r="G56" s="261">
        <f>Gia_Tbi!$G$4</f>
        <v>4000</v>
      </c>
      <c r="H56" s="1223">
        <f>'Nhan-cong-Trung Uong'!E19*80%</f>
        <v>2.4000000000000004</v>
      </c>
      <c r="I56" s="1219">
        <f>$G56*H56</f>
        <v>9600.0000000000018</v>
      </c>
      <c r="J56" s="343"/>
      <c r="K56" s="342"/>
    </row>
    <row r="57" spans="1:12">
      <c r="A57" s="325"/>
      <c r="B57" s="258" t="s">
        <v>24</v>
      </c>
      <c r="C57" s="259" t="s">
        <v>130</v>
      </c>
      <c r="D57" s="259">
        <f>Gia_Tbi!$D$6</f>
        <v>2.2000000000000002</v>
      </c>
      <c r="E57" s="259">
        <v>8</v>
      </c>
      <c r="F57" s="260">
        <f>Gia_Tbi!$F$6</f>
        <v>12000000</v>
      </c>
      <c r="G57" s="261">
        <f>Gia_Tbi!$G$6</f>
        <v>3000</v>
      </c>
      <c r="H57" s="1223">
        <f>H56/3</f>
        <v>0.80000000000000016</v>
      </c>
      <c r="I57" s="1219">
        <f>$G57*H57</f>
        <v>2400.0000000000005</v>
      </c>
      <c r="J57" s="343"/>
      <c r="K57" s="342"/>
    </row>
    <row r="58" spans="1:12">
      <c r="A58" s="325"/>
      <c r="B58" s="263" t="s">
        <v>8</v>
      </c>
      <c r="C58" s="264" t="s">
        <v>147</v>
      </c>
      <c r="D58" s="264">
        <v>0</v>
      </c>
      <c r="E58" s="265">
        <v>1</v>
      </c>
      <c r="F58" s="266">
        <f>Gia_Tbi!$F$13</f>
        <v>1686</v>
      </c>
      <c r="G58" s="267">
        <f>Gia_Tbi!$G$13</f>
        <v>13488</v>
      </c>
      <c r="H58" s="1224">
        <f>(H56*D56+H57*D57)</f>
        <v>2.7200000000000006</v>
      </c>
      <c r="I58" s="1219">
        <f>$G58*H58</f>
        <v>36687.360000000008</v>
      </c>
      <c r="J58" s="343"/>
      <c r="K58" s="349">
        <f>I58</f>
        <v>36687.360000000008</v>
      </c>
      <c r="L58" s="350"/>
    </row>
    <row r="59" spans="1:12" s="257" customFormat="1">
      <c r="A59" s="326">
        <f>'Nhan-cong-Trung Uong'!A20</f>
        <v>6</v>
      </c>
      <c r="B59" s="268" t="str">
        <f>'Nhan-cong-Trung Uong'!B20</f>
        <v>Phục vụ kiểm tra cơ sở dữ liệu (Bước 8)</v>
      </c>
      <c r="C59" s="1155"/>
      <c r="D59" s="1155"/>
      <c r="E59" s="1155"/>
      <c r="F59" s="1156"/>
      <c r="G59" s="1156"/>
      <c r="H59" s="1226"/>
      <c r="I59" s="1221"/>
      <c r="J59" s="1159"/>
      <c r="K59" s="1159"/>
    </row>
    <row r="60" spans="1:12" s="257" customFormat="1" ht="31.5">
      <c r="A60" s="1160" t="str">
        <f>'Nhan-cong-Trung Uong'!A21</f>
        <v>6.1</v>
      </c>
      <c r="B60" s="1163" t="str">
        <f>'Nhan-cong-Trung Uong'!B21</f>
        <v>Chuẩn bị tư liệu, tài liệu và phục vụ giám sát, kiểm tra, nghiệm thu</v>
      </c>
      <c r="C60" s="1155"/>
      <c r="D60" s="1155"/>
      <c r="E60" s="1155"/>
      <c r="F60" s="1156"/>
      <c r="G60" s="1156"/>
      <c r="H60" s="1226"/>
      <c r="I60" s="1221">
        <f>I61+I62</f>
        <v>8000</v>
      </c>
      <c r="J60" s="1159"/>
      <c r="K60" s="1159"/>
    </row>
    <row r="61" spans="1:12">
      <c r="A61" s="325"/>
      <c r="B61" s="258" t="s">
        <v>73</v>
      </c>
      <c r="C61" s="259" t="s">
        <v>130</v>
      </c>
      <c r="D61" s="259">
        <f>Gia_Tbi!$D$4</f>
        <v>0.4</v>
      </c>
      <c r="E61" s="259">
        <v>5</v>
      </c>
      <c r="F61" s="260">
        <f>Gia_Tbi!$F$4</f>
        <v>10000000</v>
      </c>
      <c r="G61" s="261">
        <f>Gia_Tbi!$G$4</f>
        <v>4000</v>
      </c>
      <c r="H61" s="1223">
        <f>'Nhan-cong-Trung Uong'!E21*80%</f>
        <v>1.6</v>
      </c>
      <c r="I61" s="1219">
        <f>$G61*H61</f>
        <v>6400</v>
      </c>
      <c r="J61" s="343"/>
      <c r="K61" s="342"/>
    </row>
    <row r="62" spans="1:12">
      <c r="A62" s="325"/>
      <c r="B62" s="258" t="s">
        <v>24</v>
      </c>
      <c r="C62" s="259" t="s">
        <v>130</v>
      </c>
      <c r="D62" s="259">
        <f>Gia_Tbi!$D$6</f>
        <v>2.2000000000000002</v>
      </c>
      <c r="E62" s="259">
        <v>8</v>
      </c>
      <c r="F62" s="260">
        <f>Gia_Tbi!$F$6</f>
        <v>12000000</v>
      </c>
      <c r="G62" s="261">
        <f>Gia_Tbi!$G$6</f>
        <v>3000</v>
      </c>
      <c r="H62" s="1223">
        <f>H61/3</f>
        <v>0.53333333333333333</v>
      </c>
      <c r="I62" s="1219">
        <f>$G62*H62</f>
        <v>1600</v>
      </c>
      <c r="J62" s="343"/>
      <c r="K62" s="342"/>
    </row>
    <row r="63" spans="1:12">
      <c r="A63" s="325"/>
      <c r="B63" s="263" t="s">
        <v>8</v>
      </c>
      <c r="C63" s="264" t="s">
        <v>147</v>
      </c>
      <c r="D63" s="264">
        <v>0</v>
      </c>
      <c r="E63" s="265">
        <v>1</v>
      </c>
      <c r="F63" s="266">
        <f>Gia_Tbi!$F$13</f>
        <v>1686</v>
      </c>
      <c r="G63" s="267">
        <f>Gia_Tbi!$G$13</f>
        <v>13488</v>
      </c>
      <c r="H63" s="1224">
        <f>(H61*D61+H62*D62)</f>
        <v>1.8133333333333335</v>
      </c>
      <c r="I63" s="1219">
        <f>$G63*H63</f>
        <v>24458.240000000002</v>
      </c>
      <c r="J63" s="343"/>
      <c r="K63" s="349">
        <f>I63</f>
        <v>24458.240000000002</v>
      </c>
      <c r="L63" s="350"/>
    </row>
  </sheetData>
  <mergeCells count="1">
    <mergeCell ref="A1:I1"/>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topLeftCell="A3" workbookViewId="0">
      <selection activeCell="E13" sqref="E13"/>
    </sheetView>
  </sheetViews>
  <sheetFormatPr defaultColWidth="9" defaultRowHeight="15"/>
  <cols>
    <col min="1" max="1" width="5.625" style="36" bestFit="1" customWidth="1"/>
    <col min="2" max="2" width="55.625" style="37" customWidth="1"/>
    <col min="3" max="3" width="9.625" style="36" customWidth="1"/>
    <col min="4" max="4" width="8.75" style="37" hidden="1" customWidth="1"/>
    <col min="5" max="5" width="9.25" style="37" customWidth="1"/>
    <col min="6" max="6" width="12.875" style="97" customWidth="1"/>
    <col min="7" max="7" width="11" style="225" bestFit="1" customWidth="1"/>
    <col min="8" max="8" width="14.25" style="226" customWidth="1"/>
    <col min="9" max="9" width="9" style="37"/>
    <col min="10" max="10" width="9.375" style="37" bestFit="1" customWidth="1"/>
    <col min="11" max="16384" width="9" style="37"/>
  </cols>
  <sheetData>
    <row r="1" spans="1:10" s="12" customFormat="1" ht="15.75">
      <c r="A1" s="1856" t="s">
        <v>75</v>
      </c>
      <c r="B1" s="1856"/>
      <c r="C1" s="1856"/>
      <c r="D1" s="1856"/>
      <c r="E1" s="1856"/>
      <c r="F1" s="1856"/>
      <c r="G1" s="1856"/>
      <c r="H1" s="1856"/>
    </row>
    <row r="2" spans="1:10" s="12" customFormat="1" ht="16.5" thickBot="1">
      <c r="A2" s="30"/>
      <c r="B2" s="5"/>
      <c r="C2" s="30"/>
      <c r="D2" s="5"/>
      <c r="E2" s="5"/>
      <c r="F2" s="95"/>
      <c r="G2" s="222" t="s">
        <v>70</v>
      </c>
      <c r="H2" s="223" t="s">
        <v>69</v>
      </c>
      <c r="J2" s="12" t="s">
        <v>834</v>
      </c>
    </row>
    <row r="3" spans="1:10" s="13" customFormat="1" ht="31.5">
      <c r="A3" s="1860" t="s">
        <v>14</v>
      </c>
      <c r="B3" s="1862" t="s">
        <v>2</v>
      </c>
      <c r="C3" s="1862" t="s">
        <v>20</v>
      </c>
      <c r="D3" s="219" t="s">
        <v>98</v>
      </c>
      <c r="E3" s="219" t="s">
        <v>100</v>
      </c>
      <c r="F3" s="220" t="s">
        <v>100</v>
      </c>
      <c r="G3" s="229" t="s">
        <v>68</v>
      </c>
      <c r="H3" s="224" t="s">
        <v>72</v>
      </c>
      <c r="I3" s="13">
        <v>1</v>
      </c>
      <c r="J3" s="13">
        <v>659</v>
      </c>
    </row>
    <row r="4" spans="1:10" s="13" customFormat="1" ht="15.75">
      <c r="A4" s="1861"/>
      <c r="B4" s="1863"/>
      <c r="C4" s="1863"/>
      <c r="D4" s="1202" t="s">
        <v>99</v>
      </c>
      <c r="E4" s="1202" t="s">
        <v>101</v>
      </c>
      <c r="F4" s="221" t="s">
        <v>102</v>
      </c>
      <c r="G4" s="345">
        <v>8</v>
      </c>
      <c r="H4" s="415">
        <f>SUM(H5:H11)</f>
        <v>2904766.2299995562</v>
      </c>
    </row>
    <row r="5" spans="1:10" s="19" customFormat="1" ht="15.75">
      <c r="A5" s="34">
        <v>1</v>
      </c>
      <c r="B5" s="35" t="s">
        <v>52</v>
      </c>
      <c r="C5" s="17" t="str">
        <f>Gia_Dcu!C6</f>
        <v>Cái</v>
      </c>
      <c r="D5" s="17">
        <f>Gia_Dcu!D6</f>
        <v>24</v>
      </c>
      <c r="E5" s="18">
        <f>Gia_Dcu!E6</f>
        <v>13500</v>
      </c>
      <c r="F5" s="346">
        <f>Gia_Dcu!F6</f>
        <v>21.634615384615383</v>
      </c>
      <c r="G5" s="1258">
        <f>D33/5</f>
        <v>69.768184117349534</v>
      </c>
      <c r="H5" s="416">
        <f t="shared" ref="H5:H10" si="0">$F5*G5</f>
        <v>1509.4078294618889</v>
      </c>
    </row>
    <row r="6" spans="1:10" s="19" customFormat="1" ht="15.75">
      <c r="A6" s="34">
        <v>2</v>
      </c>
      <c r="B6" s="35" t="s">
        <v>53</v>
      </c>
      <c r="C6" s="17" t="str">
        <f>Gia_Dcu!C7</f>
        <v>Cái</v>
      </c>
      <c r="D6" s="17">
        <f>Gia_Dcu!D7</f>
        <v>60</v>
      </c>
      <c r="E6" s="18">
        <f>Gia_Dcu!E7</f>
        <v>1500000</v>
      </c>
      <c r="F6" s="346">
        <f>Gia_Dcu!F7</f>
        <v>961.53846153846155</v>
      </c>
      <c r="G6" s="1258">
        <f>D33/3</f>
        <v>116.28030686224922</v>
      </c>
      <c r="H6" s="416">
        <f t="shared" si="0"/>
        <v>111807.98736754732</v>
      </c>
    </row>
    <row r="7" spans="1:10" s="19" customFormat="1" ht="15.75">
      <c r="A7" s="34">
        <v>3</v>
      </c>
      <c r="B7" s="35" t="s">
        <v>54</v>
      </c>
      <c r="C7" s="17" t="str">
        <f>Gia_Dcu!C8</f>
        <v>Cái</v>
      </c>
      <c r="D7" s="17">
        <f>Gia_Dcu!D8</f>
        <v>96</v>
      </c>
      <c r="E7" s="18">
        <f>Gia_Dcu!E8</f>
        <v>360000</v>
      </c>
      <c r="F7" s="346">
        <f>Gia_Dcu!F8</f>
        <v>144.23076923076923</v>
      </c>
      <c r="G7" s="1258">
        <f>D33</f>
        <v>348.84092058674764</v>
      </c>
      <c r="H7" s="416">
        <f>$F7*G7</f>
        <v>50313.594315396294</v>
      </c>
    </row>
    <row r="8" spans="1:10" s="19" customFormat="1" ht="15.75">
      <c r="A8" s="34">
        <v>4</v>
      </c>
      <c r="B8" s="35" t="s">
        <v>27</v>
      </c>
      <c r="C8" s="17" t="str">
        <f>Gia_Dcu!C9</f>
        <v>Cái</v>
      </c>
      <c r="D8" s="17">
        <f>Gia_Dcu!D9</f>
        <v>96</v>
      </c>
      <c r="E8" s="18">
        <f>Gia_Dcu!E9</f>
        <v>754000</v>
      </c>
      <c r="F8" s="346">
        <f>Gia_Dcu!F9</f>
        <v>302.08333333333337</v>
      </c>
      <c r="G8" s="1258">
        <f>D33</f>
        <v>348.84092058674764</v>
      </c>
      <c r="H8" s="416">
        <f t="shared" si="0"/>
        <v>105379.02809391337</v>
      </c>
    </row>
    <row r="9" spans="1:10" s="19" customFormat="1" ht="15.75">
      <c r="A9" s="34">
        <v>5</v>
      </c>
      <c r="B9" s="35" t="s">
        <v>55</v>
      </c>
      <c r="C9" s="17" t="str">
        <f>Gia_Dcu!C10</f>
        <v>Cái</v>
      </c>
      <c r="D9" s="17">
        <f>Gia_Dcu!D10</f>
        <v>96</v>
      </c>
      <c r="E9" s="18">
        <f>Gia_Dcu!E10</f>
        <v>870000</v>
      </c>
      <c r="F9" s="346">
        <f>Gia_Dcu!F10</f>
        <v>348.55769230769232</v>
      </c>
      <c r="G9" s="1258">
        <f>D33/4</f>
        <v>87.210230146686911</v>
      </c>
      <c r="H9" s="416">
        <f t="shared" si="0"/>
        <v>30397.796565551929</v>
      </c>
    </row>
    <row r="10" spans="1:10" s="19" customFormat="1" ht="15.75">
      <c r="A10" s="34">
        <v>6</v>
      </c>
      <c r="B10" s="35" t="s">
        <v>56</v>
      </c>
      <c r="C10" s="17" t="str">
        <f>Gia_Dcu!C11</f>
        <v>Cái</v>
      </c>
      <c r="D10" s="17">
        <f>Gia_Dcu!D11</f>
        <v>24</v>
      </c>
      <c r="E10" s="18">
        <f>Gia_Dcu!E11</f>
        <v>65000</v>
      </c>
      <c r="F10" s="346">
        <f>Gia_Dcu!F11</f>
        <v>104.16666666666667</v>
      </c>
      <c r="G10" s="1258">
        <f>D33</f>
        <v>348.84092058674764</v>
      </c>
      <c r="H10" s="416">
        <f t="shared" si="0"/>
        <v>36337.595894452883</v>
      </c>
    </row>
    <row r="11" spans="1:10" s="19" customFormat="1" ht="15.75">
      <c r="A11" s="51">
        <v>7</v>
      </c>
      <c r="B11" s="52" t="s">
        <v>58</v>
      </c>
      <c r="C11" s="53"/>
      <c r="D11" s="139">
        <v>1.05</v>
      </c>
      <c r="E11" s="54">
        <f>Gia_Dcu!E12</f>
        <v>1686</v>
      </c>
      <c r="F11" s="85">
        <f>Gia_Dcu!F12</f>
        <v>13488</v>
      </c>
      <c r="G11" s="1259">
        <f>(G9*0.1+G10*0.04)*G$4</f>
        <v>181.39727870510879</v>
      </c>
      <c r="H11" s="417">
        <f>$F11*G11*D11</f>
        <v>2569020.8199332324</v>
      </c>
    </row>
    <row r="13" spans="1:10" s="12" customFormat="1" ht="31.5">
      <c r="A13" s="1200" t="s">
        <v>14</v>
      </c>
      <c r="B13" s="1200" t="s">
        <v>133</v>
      </c>
      <c r="C13" s="1200" t="s">
        <v>20</v>
      </c>
      <c r="D13" s="1200" t="s">
        <v>110</v>
      </c>
      <c r="E13" s="1200" t="s">
        <v>28</v>
      </c>
      <c r="F13" s="1200" t="s">
        <v>19</v>
      </c>
      <c r="G13" s="435"/>
      <c r="H13" s="1200"/>
    </row>
    <row r="14" spans="1:10" ht="15.75">
      <c r="A14" s="1148">
        <f>'Nhan-cong-Trung Uong'!A3</f>
        <v>1</v>
      </c>
      <c r="B14" s="413" t="str">
        <f>'Nhan-cong-Trung Uong'!B3</f>
        <v>Công tác chuẩn bị</v>
      </c>
      <c r="C14" s="236"/>
      <c r="D14" s="237"/>
      <c r="E14" s="344"/>
      <c r="F14" s="414"/>
      <c r="G14" s="434"/>
      <c r="H14" s="238"/>
      <c r="J14" s="410">
        <f>D14*8000</f>
        <v>0</v>
      </c>
    </row>
    <row r="15" spans="1:10" ht="47.25">
      <c r="A15" s="1149" t="str">
        <f>'Nhan-cong-Trung Uong'!A4</f>
        <v>1.1</v>
      </c>
      <c r="B15" s="391" t="str">
        <f>'Nhan-cong-Trung Uong'!B4</f>
        <v>Lập kế hoạch thi công chi tiết: Xác định thời gian, địa điểm, khối lượng và nhân lực thực hiện của từng bước công việc; kế hoạch làm việc với các đơn vị có liên quan đến công tác xây dựng cơ sở dữ liệu địa chính</v>
      </c>
      <c r="C15" s="236" t="str">
        <f>'Nhan-cong-Trung Uong'!C4</f>
        <v>Huyện</v>
      </c>
      <c r="D15" s="1215">
        <f>'Nhan-cong-Trung Uong'!F4</f>
        <v>30</v>
      </c>
      <c r="E15" s="1183">
        <f>D15/$D$33</f>
        <v>8.5999085054414601E-2</v>
      </c>
      <c r="F15" s="918">
        <f>E15*$H$4*I3</f>
        <v>249807.23807692307</v>
      </c>
      <c r="G15" s="434"/>
      <c r="H15" s="238"/>
      <c r="J15" s="410"/>
    </row>
    <row r="16" spans="1:10" ht="47.25">
      <c r="A16" s="1149" t="str">
        <f>'Nhan-cong-Trung Uong'!A5</f>
        <v>1.2</v>
      </c>
      <c r="B16" s="391" t="str">
        <f>'Nhan-cong-Trung Uong'!B5</f>
        <v xml:space="preserve">Chuẩn bị vật tư, thiết bị, dụng cụ, phần mềm cho công tác xây dựng cơ sở dữ liệu địa chính; Chuẩn bị nhân lực, địa điểm làm việc
</v>
      </c>
      <c r="C16" s="236" t="str">
        <f>'Nhan-cong-Trung Uong'!C5</f>
        <v>Huyện</v>
      </c>
      <c r="D16" s="1215">
        <f>'Nhan-cong-Trung Uong'!F5</f>
        <v>40</v>
      </c>
      <c r="E16" s="1183">
        <f>D16/$D$33</f>
        <v>0.11466544673921947</v>
      </c>
      <c r="F16" s="918">
        <f>E16*$H$4*I3</f>
        <v>333076.31743589742</v>
      </c>
      <c r="G16" s="434"/>
      <c r="H16" s="238"/>
      <c r="J16" s="410"/>
    </row>
    <row r="17" spans="1:10" ht="15.75" hidden="1">
      <c r="A17" s="1149" t="str">
        <f>'Nhan-cong-Trung Uong'!A6</f>
        <v>1.3</v>
      </c>
      <c r="B17" s="391" t="str">
        <f>'Nhan-cong-Trung Uong'!B6</f>
        <v>Chuẩn bị nhân lực, địa điểm làm việc</v>
      </c>
      <c r="C17" s="236" t="str">
        <f>'Nhan-cong-Trung Uong'!C6</f>
        <v>Huyện</v>
      </c>
      <c r="D17" s="1215">
        <f>'Nhan-cong-Trung Uong'!F6</f>
        <v>0</v>
      </c>
      <c r="E17" s="1183">
        <f>D17/$D$33</f>
        <v>0</v>
      </c>
      <c r="F17" s="918">
        <f>E17*$H$4*I3</f>
        <v>0</v>
      </c>
      <c r="G17" s="434"/>
      <c r="H17" s="238"/>
      <c r="J17" s="410"/>
    </row>
    <row r="18" spans="1:10" ht="30" customHeight="1">
      <c r="A18" s="1148">
        <f>'Nhan-cong-Trung Uong'!A7</f>
        <v>2</v>
      </c>
      <c r="B18" s="1210" t="str">
        <f>'Nhan-cong-Trung Uong'!B7</f>
        <v>Thu thập tài liệu, dữ liệu</v>
      </c>
      <c r="C18" s="236" t="str">
        <f>'Nhan-cong-Trung Uong'!C7</f>
        <v>Huyện</v>
      </c>
      <c r="D18" s="1215">
        <f>'Nhan-cong-Trung Uong'!F7</f>
        <v>90</v>
      </c>
      <c r="E18" s="1183">
        <f>D18/$D$33</f>
        <v>0.25799725516324379</v>
      </c>
      <c r="F18" s="918">
        <f>E18*$H$4*I3</f>
        <v>749421.7142307692</v>
      </c>
      <c r="G18" s="434"/>
      <c r="H18" s="238"/>
      <c r="J18" s="410">
        <f>D18*8000</f>
        <v>720000</v>
      </c>
    </row>
    <row r="19" spans="1:10" ht="15.75">
      <c r="A19" s="1148">
        <f>'Nhan-cong-Trung Uong'!A8</f>
        <v>3</v>
      </c>
      <c r="B19" s="413" t="str">
        <f>'Nhan-cong-Trung Uong'!B8</f>
        <v>Xây dựng dữ liệu không gian</v>
      </c>
      <c r="C19" s="236"/>
      <c r="D19" s="1215"/>
      <c r="E19" s="1183"/>
      <c r="F19" s="918"/>
      <c r="G19" s="437"/>
    </row>
    <row r="20" spans="1:10" ht="15.75">
      <c r="A20" s="1149" t="str">
        <f>'Nhan-cong-Trung Uong'!A9</f>
        <v>3.1</v>
      </c>
      <c r="B20" s="391" t="str">
        <f>'Nhan-cong-Trung Uong'!B9</f>
        <v>Xây dựng dữ liệu nền không gian cả nước</v>
      </c>
      <c r="C20" s="236"/>
      <c r="D20" s="1215"/>
      <c r="E20" s="1183"/>
      <c r="F20" s="918"/>
      <c r="G20" s="437"/>
    </row>
    <row r="21" spans="1:10" ht="31.5">
      <c r="A21" s="1150"/>
      <c r="B21" s="1151" t="str">
        <f>'Nhan-cong-Trung Uong'!B10</f>
        <v>Tách, lọc và chuẩn hóa các lớp đối tượng biên giới, địa giới; thủy hệ; giao thông; địa danh và ghi chú</v>
      </c>
      <c r="C21" s="1152" t="str">
        <f>'Nhan-cong-Trung Uong'!C10</f>
        <v>Huyện</v>
      </c>
      <c r="D21" s="1153">
        <f>'Nhan-cong-Trung Uong'!F10</f>
        <v>1.5</v>
      </c>
      <c r="E21" s="1183">
        <f>D21/$D$33</f>
        <v>4.2999542527207297E-3</v>
      </c>
      <c r="F21" s="918">
        <f>E21*$H$4*J3</f>
        <v>8231148.4946346143</v>
      </c>
      <c r="G21" s="437"/>
    </row>
    <row r="22" spans="1:10" ht="78.75">
      <c r="A22" s="1150"/>
      <c r="B22" s="1151" t="str">
        <f>'Nhan-cong-Trung Uong'!B11</f>
        <v>Gộp các thành phần tiếp giáp nhau của cùng một đối tượng thuộc các lớp dữ liệu nền không gian cả nước thành một đối tượng duy nhất phù hợp với thông tin thuộc tính của đối tượng theo phạm vi cả nước;  xử lý tiếp biên dữ liệu nền không gian cả nước của các đơn vị hành chính</v>
      </c>
      <c r="C22" s="1152" t="str">
        <f>'Nhan-cong-Trung Uong'!C11</f>
        <v>Huyện</v>
      </c>
      <c r="D22" s="1153">
        <f>'Nhan-cong-Trung Uong'!F11</f>
        <v>0.33333333333333331</v>
      </c>
      <c r="E22" s="1183">
        <f>D22/$D$33</f>
        <v>9.5554538949349553E-4</v>
      </c>
      <c r="F22" s="918">
        <f>E22*$H$4*J3</f>
        <v>1829144.1099188034</v>
      </c>
      <c r="G22" s="437"/>
    </row>
    <row r="23" spans="1:10" s="226" customFormat="1" ht="47.25">
      <c r="A23" s="1150"/>
      <c r="B23" s="1151" t="str">
        <f>'Nhan-cong-Trung Uong'!B12</f>
        <v xml:space="preserve">Chuyển đổi các lớp đối tượng nền không gian cả nước từ tệp (File) bản đồ số vào cơ sở dữ liệu
</v>
      </c>
      <c r="C23" s="1152" t="str">
        <f>'Nhan-cong-Trung Uong'!C12</f>
        <v>Huyện</v>
      </c>
      <c r="D23" s="1153">
        <f>'Nhan-cong-Trung Uong'!F12</f>
        <v>7.5872534142640367E-3</v>
      </c>
      <c r="E23" s="1183">
        <f>D23/$D$33</f>
        <v>2.174989505675635E-5</v>
      </c>
      <c r="F23" s="918">
        <f>E23*$H$4*J3</f>
        <v>41634.539679487185</v>
      </c>
      <c r="G23" s="437"/>
      <c r="I23" s="37"/>
      <c r="J23" s="37"/>
    </row>
    <row r="24" spans="1:10" ht="15.75">
      <c r="A24" s="1148">
        <f>'Nhan-cong-Trung Uong'!A13</f>
        <v>4</v>
      </c>
      <c r="B24" s="413" t="str">
        <f>'Nhan-cong-Trung Uong'!B13</f>
        <v>Xây dựng dữ liệu thuộc tính</v>
      </c>
      <c r="C24" s="236"/>
      <c r="D24" s="1215"/>
      <c r="E24" s="1183"/>
      <c r="F24" s="918"/>
      <c r="G24" s="437"/>
    </row>
    <row r="25" spans="1:10" ht="63">
      <c r="A25" s="1149" t="str">
        <f>'Nhan-cong-Trung Uong'!A14</f>
        <v>4.1</v>
      </c>
      <c r="B25" s="391" t="str">
        <f>'Nhan-cong-Trung Uong'!B14</f>
        <v>Chiết xuất dữ liệu tổng hợp về đo đạc lập bản đồ địa chính, đăng ký đất đai, cấp Giấy chứng nhận quyền sử dụng đất, quyền sở hữu nhà ở và tài sản khác gắn liền với đất, lập hồ sơ địa chính từ cơ sở dữ liệu đất đai</v>
      </c>
      <c r="C25" s="236" t="str">
        <f>'Nhan-cong-Trung Uong'!C14</f>
        <v>Huyện</v>
      </c>
      <c r="D25" s="1215">
        <f>'Nhan-cong-Trung Uong'!F14</f>
        <v>25</v>
      </c>
      <c r="E25" s="1183">
        <f>D25/$D$33</f>
        <v>7.1665904212012174E-2</v>
      </c>
      <c r="F25" s="918">
        <f t="shared" ref="F25:F28" si="1">E25*$H$4</f>
        <v>208172.69839743592</v>
      </c>
      <c r="G25" s="437"/>
    </row>
    <row r="26" spans="1:10" ht="78.75">
      <c r="A26" s="1149" t="str">
        <f>'Nhan-cong-Trung Uong'!A15</f>
        <v>4.2</v>
      </c>
      <c r="B26" s="391" t="str">
        <f>'Nhan-cong-Trung Uong'!B15</f>
        <v>Nhập, chuyển đổi dữ liệu, tài liệu tổng hợp về đo đạc lập bản đồ địa chính, đăng ký đất đai, cấp Giấy chứng nhận quyền sử dụng đất, quyền sở hữu nhà ở và tài sản khác gắn liền với đất, lập hồ sơ địa chính của các tỉnh, thành phố trực thuộc Trung ương (đối với các địa bàn chưa vận hành cơ sở dữ liệu đất đai tập trung)</v>
      </c>
      <c r="C26" s="236" t="str">
        <f>'Nhan-cong-Trung Uong'!C15</f>
        <v>Huyện</v>
      </c>
      <c r="D26" s="1215">
        <f>'Nhan-cong-Trung Uong'!F15</f>
        <v>100</v>
      </c>
      <c r="E26" s="1183">
        <f>D26/$D$33</f>
        <v>0.2866636168480487</v>
      </c>
      <c r="F26" s="918">
        <f t="shared" si="1"/>
        <v>832690.79358974367</v>
      </c>
      <c r="G26" s="437"/>
    </row>
    <row r="27" spans="1:10" ht="15.75">
      <c r="A27" s="1148">
        <f>'Nhan-cong-Trung Uong'!A16</f>
        <v>5</v>
      </c>
      <c r="B27" s="413" t="str">
        <f>'Nhan-cong-Trung Uong'!B16</f>
        <v>Đối soát, hoàn thiện dữ liệu và xây dựng siêu dữ liệu</v>
      </c>
      <c r="C27" s="236"/>
      <c r="D27" s="1215"/>
      <c r="E27" s="1183"/>
      <c r="F27" s="918"/>
      <c r="H27" s="226">
        <f>F27*8000</f>
        <v>0</v>
      </c>
    </row>
    <row r="28" spans="1:10" ht="15.75">
      <c r="A28" s="1149" t="str">
        <f>'Nhan-cong-Trung Uong'!A17</f>
        <v>5.1</v>
      </c>
      <c r="B28" s="391" t="str">
        <f>'Nhan-cong-Trung Uong'!B17</f>
        <v>Thực hiện đối soát, hoàn thiện dữ liệu, tạo liên kết dữ liệu</v>
      </c>
      <c r="C28" s="236" t="str">
        <f>'Nhan-cong-Trung Uong'!C17</f>
        <v>Huyện</v>
      </c>
      <c r="D28" s="1215">
        <f>'Nhan-cong-Trung Uong'!F17</f>
        <v>25</v>
      </c>
      <c r="E28" s="1183">
        <f>D28/$D$33</f>
        <v>7.1665904212012174E-2</v>
      </c>
      <c r="F28" s="918">
        <f t="shared" si="1"/>
        <v>208172.69839743592</v>
      </c>
    </row>
    <row r="29" spans="1:10" ht="31.5">
      <c r="A29" s="1149" t="str">
        <f>'Nhan-cong-Trung Uong'!A18</f>
        <v>5.2</v>
      </c>
      <c r="B29" s="391" t="str">
        <f>'Nhan-cong-Trung Uong'!B18</f>
        <v>Thu nhận các thông tin cần thiết về các dữ liệu để xây dựng siêu dữ liệu</v>
      </c>
      <c r="C29" s="236" t="str">
        <f>'Nhan-cong-Trung Uong'!C18</f>
        <v>Huyện</v>
      </c>
      <c r="D29" s="1215">
        <f>'Nhan-cong-Trung Uong'!F18</f>
        <v>30</v>
      </c>
      <c r="E29" s="1183">
        <f>D29/$D$33</f>
        <v>8.5999085054414601E-2</v>
      </c>
      <c r="F29" s="918">
        <f>E29*$H$4*I3</f>
        <v>249807.23807692307</v>
      </c>
    </row>
    <row r="30" spans="1:10" ht="15.75">
      <c r="A30" s="1149" t="str">
        <f>'Nhan-cong-Trung Uong'!A19</f>
        <v>5.3</v>
      </c>
      <c r="B30" s="391" t="str">
        <f>'Nhan-cong-Trung Uong'!B19</f>
        <v>Nhập thông tin siêu dữ liệu</v>
      </c>
      <c r="C30" s="236" t="str">
        <f>'Nhan-cong-Trung Uong'!C19</f>
        <v>Huyện</v>
      </c>
      <c r="D30" s="1215">
        <f>'Nhan-cong-Trung Uong'!F19</f>
        <v>3</v>
      </c>
      <c r="E30" s="1183">
        <f>D30/$D$33</f>
        <v>8.5999085054414594E-3</v>
      </c>
      <c r="F30" s="918">
        <f>E30*$H$4*I3</f>
        <v>24980.723807692306</v>
      </c>
    </row>
    <row r="31" spans="1:10" s="225" customFormat="1" ht="15.75">
      <c r="A31" s="1148">
        <f>'Nhan-cong-Trung Uong'!A20</f>
        <v>6</v>
      </c>
      <c r="B31" s="413" t="str">
        <f>'Nhan-cong-Trung Uong'!B20</f>
        <v>Phục vụ kiểm tra cơ sở dữ liệu (Bước 8)</v>
      </c>
      <c r="C31" s="412"/>
      <c r="D31" s="1216"/>
      <c r="E31" s="1260"/>
      <c r="F31" s="917"/>
      <c r="H31" s="226"/>
      <c r="I31" s="37"/>
      <c r="J31" s="37"/>
    </row>
    <row r="32" spans="1:10" s="225" customFormat="1" ht="15.75">
      <c r="A32" s="1149" t="str">
        <f>'Nhan-cong-Trung Uong'!A21</f>
        <v>6.1</v>
      </c>
      <c r="B32" s="391" t="str">
        <f>'Nhan-cong-Trung Uong'!B21</f>
        <v>Chuẩn bị tư liệu, tài liệu và phục vụ giám sát, kiểm tra, nghiệm thu</v>
      </c>
      <c r="C32" s="236" t="str">
        <f>'Nhan-cong-Trung Uong'!C21</f>
        <v>Huyện</v>
      </c>
      <c r="D32" s="1215">
        <f>'Nhan-cong-Trung Uong'!F21</f>
        <v>4</v>
      </c>
      <c r="E32" s="1183">
        <f>D32/$D$33</f>
        <v>1.1466544673921946E-2</v>
      </c>
      <c r="F32" s="918">
        <f t="shared" ref="F32" si="2">E32*$H$4</f>
        <v>33307.631743589744</v>
      </c>
      <c r="H32" s="226"/>
      <c r="I32" s="37"/>
      <c r="J32" s="37"/>
    </row>
    <row r="33" spans="1:10" s="225" customFormat="1">
      <c r="A33" s="36"/>
      <c r="B33" s="37"/>
      <c r="C33" s="36"/>
      <c r="D33" s="1217">
        <f>SUM(D14:D32)</f>
        <v>348.84092058674764</v>
      </c>
      <c r="E33" s="1204">
        <f>SUM(E15:E32)</f>
        <v>0.99999999999999978</v>
      </c>
      <c r="F33" s="97"/>
      <c r="H33" s="226"/>
      <c r="I33" s="37"/>
      <c r="J33" s="37"/>
    </row>
  </sheetData>
  <mergeCells count="4">
    <mergeCell ref="A1:H1"/>
    <mergeCell ref="A3:A4"/>
    <mergeCell ref="B3:B4"/>
    <mergeCell ref="C3:C4"/>
  </mergeCells>
  <printOptions horizontalCentered="1"/>
  <pageMargins left="0.5" right="0.5" top="0.5" bottom="0.5" header="0.5" footer="0.25"/>
  <pageSetup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H12"/>
  <sheetViews>
    <sheetView workbookViewId="0">
      <selection activeCell="F13" sqref="F13"/>
    </sheetView>
  </sheetViews>
  <sheetFormatPr defaultColWidth="9" defaultRowHeight="15"/>
  <cols>
    <col min="1" max="1" width="7.875" style="36" customWidth="1"/>
    <col min="2" max="2" width="19" style="37" customWidth="1"/>
    <col min="3" max="3" width="5.75" style="36" bestFit="1" customWidth="1"/>
    <col min="4" max="4" width="8.75" style="37" customWidth="1"/>
    <col min="5" max="5" width="9.25" style="37" bestFit="1" customWidth="1"/>
    <col min="6" max="6" width="8.75" style="38" customWidth="1"/>
    <col min="7" max="7" width="14.25" style="39" customWidth="1"/>
    <col min="8" max="16384" width="9" style="37"/>
  </cols>
  <sheetData>
    <row r="1" spans="1:8" s="12" customFormat="1" ht="15.75">
      <c r="A1" s="1856" t="s">
        <v>1138</v>
      </c>
      <c r="B1" s="1856"/>
      <c r="C1" s="1856"/>
      <c r="D1" s="1856"/>
      <c r="E1" s="1856"/>
      <c r="F1" s="1856"/>
      <c r="G1" s="1856"/>
    </row>
    <row r="2" spans="1:8" s="12" customFormat="1" ht="15.75">
      <c r="A2" s="30"/>
      <c r="B2" s="5"/>
      <c r="C2" s="30"/>
      <c r="D2" s="5"/>
      <c r="E2" s="5"/>
      <c r="F2" s="31"/>
      <c r="G2" s="32" t="s">
        <v>1131</v>
      </c>
    </row>
    <row r="3" spans="1:8" s="13" customFormat="1" ht="31.5">
      <c r="A3" s="1663" t="s">
        <v>14</v>
      </c>
      <c r="B3" s="1663" t="s">
        <v>2</v>
      </c>
      <c r="C3" s="1663" t="s">
        <v>20</v>
      </c>
      <c r="D3" s="1663" t="s">
        <v>67</v>
      </c>
      <c r="E3" s="1663" t="s">
        <v>71</v>
      </c>
      <c r="F3" s="1663" t="s">
        <v>15</v>
      </c>
      <c r="G3" s="1664" t="s">
        <v>6</v>
      </c>
    </row>
    <row r="4" spans="1:8" s="19" customFormat="1" ht="15.75">
      <c r="A4" s="1665">
        <v>1</v>
      </c>
      <c r="B4" s="932" t="s">
        <v>50</v>
      </c>
      <c r="C4" s="8" t="s">
        <v>130</v>
      </c>
      <c r="D4" s="8">
        <v>12</v>
      </c>
      <c r="E4" s="933">
        <v>20000</v>
      </c>
      <c r="F4" s="1661">
        <f t="shared" ref="F4:F11" si="0">E4/D4/26</f>
        <v>64.102564102564102</v>
      </c>
      <c r="G4" s="497"/>
    </row>
    <row r="5" spans="1:8" s="19" customFormat="1" ht="15.75">
      <c r="A5" s="1665">
        <v>2</v>
      </c>
      <c r="B5" s="932" t="s">
        <v>51</v>
      </c>
      <c r="C5" s="8" t="s">
        <v>130</v>
      </c>
      <c r="D5" s="8">
        <v>12</v>
      </c>
      <c r="E5" s="933">
        <v>2000</v>
      </c>
      <c r="F5" s="1662">
        <f t="shared" si="0"/>
        <v>6.4102564102564097</v>
      </c>
      <c r="G5" s="1666"/>
    </row>
    <row r="6" spans="1:8" s="19" customFormat="1" ht="15.75">
      <c r="A6" s="1665">
        <v>3</v>
      </c>
      <c r="B6" s="932" t="s">
        <v>52</v>
      </c>
      <c r="C6" s="8" t="s">
        <v>130</v>
      </c>
      <c r="D6" s="8">
        <v>24</v>
      </c>
      <c r="E6" s="933">
        <v>13500</v>
      </c>
      <c r="F6" s="1662">
        <f t="shared" si="0"/>
        <v>21.634615384615383</v>
      </c>
      <c r="G6" s="1666"/>
    </row>
    <row r="7" spans="1:8" s="19" customFormat="1" ht="15.75">
      <c r="A7" s="1665">
        <v>4</v>
      </c>
      <c r="B7" s="932" t="s">
        <v>53</v>
      </c>
      <c r="C7" s="8" t="s">
        <v>130</v>
      </c>
      <c r="D7" s="8">
        <v>60</v>
      </c>
      <c r="E7" s="933">
        <v>1500000</v>
      </c>
      <c r="F7" s="1662">
        <f t="shared" si="0"/>
        <v>961.53846153846155</v>
      </c>
      <c r="G7" s="1666"/>
    </row>
    <row r="8" spans="1:8" s="19" customFormat="1" ht="15.75">
      <c r="A8" s="1665">
        <v>5</v>
      </c>
      <c r="B8" s="932" t="s">
        <v>54</v>
      </c>
      <c r="C8" s="8" t="s">
        <v>130</v>
      </c>
      <c r="D8" s="8">
        <v>96</v>
      </c>
      <c r="E8" s="933">
        <v>360000</v>
      </c>
      <c r="F8" s="1662">
        <f t="shared" si="0"/>
        <v>144.23076923076923</v>
      </c>
      <c r="G8" s="1666"/>
    </row>
    <row r="9" spans="1:8" s="19" customFormat="1" ht="15.75">
      <c r="A9" s="1665">
        <v>6</v>
      </c>
      <c r="B9" s="932" t="s">
        <v>27</v>
      </c>
      <c r="C9" s="8" t="s">
        <v>130</v>
      </c>
      <c r="D9" s="8">
        <v>96</v>
      </c>
      <c r="E9" s="933">
        <v>754000</v>
      </c>
      <c r="F9" s="1662">
        <f t="shared" si="0"/>
        <v>302.08333333333337</v>
      </c>
      <c r="G9" s="1666"/>
    </row>
    <row r="10" spans="1:8" s="19" customFormat="1" ht="15.75">
      <c r="A10" s="1665">
        <v>7</v>
      </c>
      <c r="B10" s="932" t="s">
        <v>55</v>
      </c>
      <c r="C10" s="8" t="s">
        <v>130</v>
      </c>
      <c r="D10" s="8">
        <v>96</v>
      </c>
      <c r="E10" s="933">
        <v>870000</v>
      </c>
      <c r="F10" s="1662">
        <f t="shared" si="0"/>
        <v>348.55769230769232</v>
      </c>
      <c r="G10" s="1666"/>
    </row>
    <row r="11" spans="1:8" s="19" customFormat="1" ht="15.75">
      <c r="A11" s="1665">
        <v>8</v>
      </c>
      <c r="B11" s="932" t="s">
        <v>56</v>
      </c>
      <c r="C11" s="8" t="s">
        <v>130</v>
      </c>
      <c r="D11" s="8">
        <v>24</v>
      </c>
      <c r="E11" s="933">
        <v>65000</v>
      </c>
      <c r="F11" s="1661">
        <f t="shared" si="0"/>
        <v>104.16666666666667</v>
      </c>
      <c r="G11" s="497"/>
    </row>
    <row r="12" spans="1:8" s="19" customFormat="1" ht="15.75">
      <c r="A12" s="1667">
        <v>9</v>
      </c>
      <c r="B12" s="938" t="s">
        <v>8</v>
      </c>
      <c r="C12" s="59" t="str">
        <f>Gia_Tbi!C10</f>
        <v>Cái</v>
      </c>
      <c r="D12" s="1668">
        <v>1</v>
      </c>
      <c r="E12" s="1669">
        <v>1686</v>
      </c>
      <c r="F12" s="939">
        <f>E12*D12*8</f>
        <v>13488</v>
      </c>
      <c r="G12" s="1670"/>
      <c r="H12" s="1426"/>
    </row>
  </sheetData>
  <mergeCells count="1">
    <mergeCell ref="A1:G1"/>
  </mergeCells>
  <phoneticPr fontId="90" type="noConversion"/>
  <printOptions horizontalCentered="1"/>
  <pageMargins left="0.511811023622047" right="0.511811023622047" top="0.761811024" bottom="0.511811023622047" header="0.511811023622047" footer="0.23622047244094499"/>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0"/>
  <sheetViews>
    <sheetView zoomScale="85" zoomScaleNormal="85" workbookViewId="0">
      <pane ySplit="2" topLeftCell="A13" activePane="bottomLeft" state="frozen"/>
      <selection activeCell="E13" sqref="E13"/>
      <selection pane="bottomLeft" activeCell="E13" sqref="E13"/>
    </sheetView>
  </sheetViews>
  <sheetFormatPr defaultColWidth="9" defaultRowHeight="15.75"/>
  <cols>
    <col min="1" max="1" width="7.375" style="233" bestFit="1" customWidth="1"/>
    <col min="2" max="2" width="48.375" style="233" customWidth="1"/>
    <col min="3" max="3" width="7.875" style="233" customWidth="1"/>
    <col min="4" max="4" width="13" style="233" customWidth="1"/>
    <col min="5" max="5" width="10.875" style="234" bestFit="1" customWidth="1"/>
    <col min="6" max="6" width="8.25" style="234" customWidth="1"/>
    <col min="7" max="7" width="11.625" style="235" customWidth="1"/>
    <col min="8" max="8" width="13.375" style="1142" customWidth="1"/>
    <col min="9" max="9" width="31.875" style="300" customWidth="1"/>
    <col min="10" max="10" width="17.125" style="232" customWidth="1"/>
    <col min="11" max="11" width="12.25" style="232" customWidth="1"/>
    <col min="12" max="13" width="9" style="233"/>
    <col min="14" max="14" width="14.625" style="233" customWidth="1"/>
    <col min="15" max="15" width="18.375" style="233" customWidth="1"/>
    <col min="16" max="16384" width="9" style="233"/>
  </cols>
  <sheetData>
    <row r="1" spans="1:13" ht="25.5" customHeight="1">
      <c r="J1" s="232" t="s">
        <v>831</v>
      </c>
    </row>
    <row r="2" spans="1:13" ht="47.25">
      <c r="A2" s="837" t="s">
        <v>9</v>
      </c>
      <c r="B2" s="1139" t="s">
        <v>109</v>
      </c>
      <c r="C2" s="1139" t="s">
        <v>20</v>
      </c>
      <c r="D2" s="1139" t="s">
        <v>7</v>
      </c>
      <c r="E2" s="303" t="s">
        <v>841</v>
      </c>
      <c r="F2" s="304" t="s">
        <v>111</v>
      </c>
      <c r="G2" s="305" t="s">
        <v>246</v>
      </c>
      <c r="H2" s="1143" t="s">
        <v>19</v>
      </c>
      <c r="I2" s="314" t="s">
        <v>797</v>
      </c>
      <c r="J2" s="302">
        <v>659</v>
      </c>
      <c r="L2" s="232"/>
      <c r="M2" s="232"/>
    </row>
    <row r="3" spans="1:13" s="352" customFormat="1" ht="15.75" customHeight="1">
      <c r="A3" s="1200">
        <v>1</v>
      </c>
      <c r="B3" s="1138" t="s">
        <v>860</v>
      </c>
      <c r="C3" s="1200"/>
      <c r="D3" s="1200"/>
      <c r="E3" s="373"/>
      <c r="F3" s="373"/>
      <c r="G3" s="811"/>
      <c r="H3" s="475">
        <f>SUM(H4:H6)</f>
        <v>12787882.019230772</v>
      </c>
      <c r="I3" s="1201"/>
      <c r="J3" s="351"/>
      <c r="K3" s="351">
        <f>E3*$J$2</f>
        <v>0</v>
      </c>
      <c r="L3" s="351"/>
      <c r="M3" s="351"/>
    </row>
    <row r="4" spans="1:13" s="352" customFormat="1" ht="78.75" customHeight="1">
      <c r="A4" s="316" t="s">
        <v>156</v>
      </c>
      <c r="B4" s="1136" t="s">
        <v>875</v>
      </c>
      <c r="C4" s="316" t="s">
        <v>269</v>
      </c>
      <c r="D4" s="1199" t="s">
        <v>837</v>
      </c>
      <c r="E4" s="374">
        <v>15</v>
      </c>
      <c r="F4" s="374">
        <f>E4*2</f>
        <v>30</v>
      </c>
      <c r="G4" s="809">
        <f>(L_CBan!K48+L_CBan!K37)/2</f>
        <v>182684.02884615387</v>
      </c>
      <c r="H4" s="1141">
        <f t="shared" ref="H4:H19" si="0">F4*G4</f>
        <v>5480520.865384616</v>
      </c>
      <c r="I4" s="1941"/>
      <c r="J4" s="351"/>
      <c r="K4" s="351"/>
      <c r="L4" s="351"/>
      <c r="M4" s="351"/>
    </row>
    <row r="5" spans="1:13" s="352" customFormat="1" ht="58.5" customHeight="1">
      <c r="A5" s="316" t="s">
        <v>157</v>
      </c>
      <c r="B5" s="1136" t="s">
        <v>876</v>
      </c>
      <c r="C5" s="316" t="s">
        <v>269</v>
      </c>
      <c r="D5" s="1199" t="s">
        <v>837</v>
      </c>
      <c r="E5" s="374">
        <v>20</v>
      </c>
      <c r="F5" s="374">
        <f t="shared" ref="F5:F6" si="1">E5*2</f>
        <v>40</v>
      </c>
      <c r="G5" s="809">
        <f>(L_CBan!K48+L_CBan!K37)/2</f>
        <v>182684.02884615387</v>
      </c>
      <c r="H5" s="1141">
        <f t="shared" si="0"/>
        <v>7307361.1538461549</v>
      </c>
      <c r="I5" s="1942"/>
      <c r="J5" s="351"/>
      <c r="K5" s="351"/>
      <c r="L5" s="351"/>
      <c r="M5" s="351"/>
    </row>
    <row r="6" spans="1:13" s="352" customFormat="1" ht="35.25" hidden="1" customHeight="1">
      <c r="A6" s="316" t="s">
        <v>727</v>
      </c>
      <c r="B6" s="1136" t="s">
        <v>810</v>
      </c>
      <c r="C6" s="316" t="s">
        <v>269</v>
      </c>
      <c r="D6" s="1199" t="s">
        <v>812</v>
      </c>
      <c r="E6" s="374">
        <v>0</v>
      </c>
      <c r="F6" s="374">
        <f t="shared" si="1"/>
        <v>0</v>
      </c>
      <c r="G6" s="809">
        <f>(L_CBan!K48+L_CBan!K37)/2</f>
        <v>182684.02884615387</v>
      </c>
      <c r="H6" s="1141">
        <f t="shared" si="0"/>
        <v>0</v>
      </c>
      <c r="I6" s="1943"/>
      <c r="J6" s="351"/>
      <c r="K6" s="351"/>
      <c r="L6" s="351"/>
      <c r="M6" s="351"/>
    </row>
    <row r="7" spans="1:13" ht="47.25">
      <c r="A7" s="1200">
        <v>2</v>
      </c>
      <c r="B7" s="1138" t="s">
        <v>861</v>
      </c>
      <c r="C7" s="316" t="s">
        <v>269</v>
      </c>
      <c r="D7" s="316" t="s">
        <v>838</v>
      </c>
      <c r="E7" s="374">
        <v>30</v>
      </c>
      <c r="F7" s="374">
        <f>E7*3</f>
        <v>90</v>
      </c>
      <c r="G7" s="809">
        <f>(2*L_CBan!K48+1*L_CBan!K38)/3</f>
        <v>187992.15384615387</v>
      </c>
      <c r="H7" s="475">
        <f t="shared" si="0"/>
        <v>16919293.846153848</v>
      </c>
      <c r="I7" s="318"/>
      <c r="K7" s="232">
        <f>E7*J2</f>
        <v>19770</v>
      </c>
      <c r="L7" s="232"/>
      <c r="M7" s="232"/>
    </row>
    <row r="8" spans="1:13" ht="31.5" customHeight="1">
      <c r="A8" s="1200">
        <v>3</v>
      </c>
      <c r="B8" s="1138" t="s">
        <v>877</v>
      </c>
      <c r="C8" s="1200"/>
      <c r="D8" s="1200"/>
      <c r="E8" s="373"/>
      <c r="F8" s="373"/>
      <c r="G8" s="811"/>
      <c r="H8" s="1144">
        <f>SUM(H10:H12)</f>
        <v>392983.44179214811</v>
      </c>
      <c r="I8" s="317"/>
      <c r="L8" s="232"/>
      <c r="M8" s="232"/>
    </row>
    <row r="9" spans="1:13">
      <c r="A9" s="309" t="s">
        <v>120</v>
      </c>
      <c r="B9" s="1137" t="s">
        <v>823</v>
      </c>
      <c r="C9" s="313"/>
      <c r="D9" s="313"/>
      <c r="E9" s="374"/>
      <c r="F9" s="374"/>
      <c r="G9" s="809"/>
      <c r="H9" s="1141"/>
      <c r="I9" s="1137"/>
      <c r="L9" s="232"/>
      <c r="M9" s="232"/>
    </row>
    <row r="10" spans="1:13" ht="31.5">
      <c r="A10" s="838"/>
      <c r="B10" s="1137" t="s">
        <v>824</v>
      </c>
      <c r="C10" s="313" t="s">
        <v>269</v>
      </c>
      <c r="D10" s="313" t="s">
        <v>839</v>
      </c>
      <c r="E10" s="1211">
        <f>((0.3*J2)*5)/J2</f>
        <v>1.5</v>
      </c>
      <c r="F10" s="1211">
        <f>E10</f>
        <v>1.5</v>
      </c>
      <c r="G10" s="831">
        <f>L_CBan!K38</f>
        <v>213471.15384615384</v>
      </c>
      <c r="H10" s="1145">
        <f t="shared" ref="H10:H12" si="2">F10*G10</f>
        <v>320206.73076923075</v>
      </c>
      <c r="I10" s="1136" t="s">
        <v>843</v>
      </c>
      <c r="J10" s="1944"/>
      <c r="L10" s="232"/>
      <c r="M10" s="232"/>
    </row>
    <row r="11" spans="1:13" ht="94.5">
      <c r="A11" s="838"/>
      <c r="B11" s="1137" t="s">
        <v>825</v>
      </c>
      <c r="C11" s="313" t="s">
        <v>269</v>
      </c>
      <c r="D11" s="313" t="s">
        <v>839</v>
      </c>
      <c r="E11" s="1244">
        <f>(((1/15)*J2)*5)/J2</f>
        <v>0.33333333333333331</v>
      </c>
      <c r="F11" s="1211">
        <f>E11</f>
        <v>0.33333333333333331</v>
      </c>
      <c r="G11" s="831">
        <f>L_CBan!K38</f>
        <v>213471.15384615384</v>
      </c>
      <c r="H11" s="1145">
        <f t="shared" si="2"/>
        <v>71157.051282051281</v>
      </c>
      <c r="I11" s="1136" t="s">
        <v>832</v>
      </c>
      <c r="J11" s="1944"/>
      <c r="L11" s="232"/>
      <c r="M11" s="232"/>
    </row>
    <row r="12" spans="1:13" ht="47.25">
      <c r="A12" s="838"/>
      <c r="B12" s="1137" t="s">
        <v>826</v>
      </c>
      <c r="C12" s="313" t="s">
        <v>269</v>
      </c>
      <c r="D12" s="313" t="s">
        <v>839</v>
      </c>
      <c r="E12" s="311">
        <f>5/J2</f>
        <v>7.5872534142640367E-3</v>
      </c>
      <c r="F12" s="1211">
        <f>E12</f>
        <v>7.5872534142640367E-3</v>
      </c>
      <c r="G12" s="831">
        <f>L_CBan!K38</f>
        <v>213471.15384615384</v>
      </c>
      <c r="H12" s="1145">
        <f t="shared" si="2"/>
        <v>1619.6597408661141</v>
      </c>
      <c r="I12" s="1147" t="s">
        <v>833</v>
      </c>
      <c r="J12" s="313"/>
      <c r="L12" s="232"/>
      <c r="M12" s="232"/>
    </row>
    <row r="13" spans="1:13">
      <c r="A13" s="312">
        <v>4</v>
      </c>
      <c r="B13" s="1138" t="s">
        <v>878</v>
      </c>
      <c r="C13" s="1200"/>
      <c r="D13" s="839"/>
      <c r="E13" s="373"/>
      <c r="F13" s="373"/>
      <c r="G13" s="811"/>
      <c r="H13" s="1144">
        <f>SUM(H14:H15)</f>
        <v>22012744.230769232</v>
      </c>
      <c r="I13" s="1136"/>
      <c r="K13" s="299"/>
      <c r="L13" s="232"/>
      <c r="M13" s="232"/>
    </row>
    <row r="14" spans="1:13" s="301" customFormat="1" ht="63">
      <c r="A14" s="316" t="s">
        <v>121</v>
      </c>
      <c r="B14" s="1136" t="s">
        <v>879</v>
      </c>
      <c r="C14" s="572" t="s">
        <v>269</v>
      </c>
      <c r="D14" s="313" t="s">
        <v>839</v>
      </c>
      <c r="E14" s="1212">
        <v>25</v>
      </c>
      <c r="F14" s="374">
        <f>E14</f>
        <v>25</v>
      </c>
      <c r="G14" s="832">
        <f>L_CBan!K38</f>
        <v>213471.15384615384</v>
      </c>
      <c r="H14" s="1141">
        <f>F14*G14</f>
        <v>5336778.846153846</v>
      </c>
      <c r="I14" s="1136"/>
      <c r="J14" s="833"/>
      <c r="K14" s="833"/>
      <c r="L14" s="833"/>
      <c r="M14" s="833"/>
    </row>
    <row r="15" spans="1:13" s="301" customFormat="1" ht="94.5">
      <c r="A15" s="316" t="s">
        <v>148</v>
      </c>
      <c r="B15" s="1136" t="s">
        <v>880</v>
      </c>
      <c r="C15" s="572" t="s">
        <v>269</v>
      </c>
      <c r="D15" s="313" t="s">
        <v>840</v>
      </c>
      <c r="E15" s="1212">
        <v>100</v>
      </c>
      <c r="F15" s="374">
        <f>E15</f>
        <v>100</v>
      </c>
      <c r="G15" s="832">
        <f>L_CBan!K36</f>
        <v>166759.65384615384</v>
      </c>
      <c r="H15" s="1141">
        <f>F15*G15</f>
        <v>16675965.384615384</v>
      </c>
      <c r="I15" s="1137"/>
      <c r="J15" s="833"/>
      <c r="K15" s="833"/>
      <c r="L15" s="833"/>
      <c r="M15" s="833"/>
    </row>
    <row r="16" spans="1:13" ht="35.25" customHeight="1">
      <c r="A16" s="312">
        <v>5</v>
      </c>
      <c r="B16" s="1138" t="s">
        <v>881</v>
      </c>
      <c r="C16" s="312"/>
      <c r="D16" s="1202"/>
      <c r="E16" s="373"/>
      <c r="F16" s="373"/>
      <c r="G16" s="811"/>
      <c r="H16" s="1144">
        <f>SUM(H17:H19)</f>
        <v>10839847.423076922</v>
      </c>
      <c r="I16" s="1136"/>
      <c r="L16" s="232"/>
      <c r="M16" s="232"/>
    </row>
    <row r="17" spans="1:13" ht="30" customHeight="1">
      <c r="A17" s="309" t="s">
        <v>122</v>
      </c>
      <c r="B17" s="1136" t="s">
        <v>827</v>
      </c>
      <c r="C17" s="316" t="s">
        <v>269</v>
      </c>
      <c r="D17" s="313" t="s">
        <v>839</v>
      </c>
      <c r="E17" s="374">
        <v>25</v>
      </c>
      <c r="F17" s="374">
        <f>E17</f>
        <v>25</v>
      </c>
      <c r="G17" s="809">
        <f>L_CBan!K38</f>
        <v>213471.15384615384</v>
      </c>
      <c r="H17" s="1141">
        <f t="shared" si="0"/>
        <v>5336778.846153846</v>
      </c>
      <c r="I17" s="317"/>
      <c r="L17" s="232"/>
      <c r="M17" s="232"/>
    </row>
    <row r="18" spans="1:13" ht="31.5">
      <c r="A18" s="309" t="s">
        <v>141</v>
      </c>
      <c r="B18" s="1136" t="s">
        <v>828</v>
      </c>
      <c r="C18" s="309" t="s">
        <v>269</v>
      </c>
      <c r="D18" s="313" t="s">
        <v>840</v>
      </c>
      <c r="E18" s="374">
        <v>30</v>
      </c>
      <c r="F18" s="374">
        <f>E18</f>
        <v>30</v>
      </c>
      <c r="G18" s="809">
        <f>L_CBan!K36</f>
        <v>166759.65384615384</v>
      </c>
      <c r="H18" s="1141">
        <f t="shared" si="0"/>
        <v>5002789.615384615</v>
      </c>
      <c r="I18" s="1136"/>
      <c r="K18" s="232">
        <f>E18*8000</f>
        <v>240000</v>
      </c>
      <c r="L18" s="232">
        <v>1.2999999999999999E-3</v>
      </c>
      <c r="M18" s="232"/>
    </row>
    <row r="19" spans="1:13" ht="31.5">
      <c r="A19" s="309" t="s">
        <v>142</v>
      </c>
      <c r="B19" s="1136" t="s">
        <v>829</v>
      </c>
      <c r="C19" s="309" t="s">
        <v>269</v>
      </c>
      <c r="D19" s="313" t="s">
        <v>840</v>
      </c>
      <c r="E19" s="374">
        <v>3</v>
      </c>
      <c r="F19" s="832">
        <f>E19</f>
        <v>3</v>
      </c>
      <c r="G19" s="809">
        <f>L_CBan!K36</f>
        <v>166759.65384615384</v>
      </c>
      <c r="H19" s="1141">
        <f t="shared" si="0"/>
        <v>500278.9615384615</v>
      </c>
      <c r="I19" s="1136"/>
      <c r="K19" s="232">
        <f>E19*8000</f>
        <v>24000</v>
      </c>
      <c r="L19" s="232">
        <v>1E-4</v>
      </c>
      <c r="M19" s="232"/>
    </row>
    <row r="20" spans="1:13">
      <c r="A20" s="312">
        <v>6</v>
      </c>
      <c r="B20" s="1138" t="s">
        <v>842</v>
      </c>
      <c r="C20" s="312"/>
      <c r="D20" s="316"/>
      <c r="E20" s="1213"/>
      <c r="F20" s="1213"/>
      <c r="G20" s="811"/>
      <c r="H20" s="475"/>
      <c r="I20" s="1136"/>
      <c r="L20" s="232"/>
      <c r="M20" s="232"/>
    </row>
    <row r="21" spans="1:13" ht="47.25">
      <c r="A21" s="309" t="s">
        <v>124</v>
      </c>
      <c r="B21" s="1136" t="s">
        <v>801</v>
      </c>
      <c r="C21" s="309" t="s">
        <v>269</v>
      </c>
      <c r="D21" s="316" t="s">
        <v>837</v>
      </c>
      <c r="E21" s="374">
        <v>2</v>
      </c>
      <c r="F21" s="832">
        <f>E21*2</f>
        <v>4</v>
      </c>
      <c r="G21" s="809">
        <f>(L_CBan!K37+L_CBan!K48)/2</f>
        <v>182684.02884615387</v>
      </c>
      <c r="H21" s="1141">
        <f>F21*G21</f>
        <v>730736.11538461549</v>
      </c>
      <c r="I21" s="1136"/>
      <c r="L21" s="232"/>
      <c r="M21" s="232"/>
    </row>
    <row r="22" spans="1:13">
      <c r="A22" s="232"/>
      <c r="B22" s="232"/>
      <c r="C22" s="232"/>
      <c r="D22" s="232"/>
      <c r="E22" s="834"/>
      <c r="F22" s="834"/>
      <c r="G22" s="300" t="s">
        <v>170</v>
      </c>
      <c r="H22" s="1146">
        <f>H3+H7+H8+H13+H16</f>
        <v>62952750.961022921</v>
      </c>
      <c r="I22" s="300" t="s">
        <v>170</v>
      </c>
      <c r="L22" s="232"/>
      <c r="M22" s="232"/>
    </row>
    <row r="23" spans="1:13">
      <c r="A23" s="232"/>
      <c r="B23" s="232"/>
      <c r="C23" s="232"/>
      <c r="D23" s="232"/>
      <c r="E23" s="834"/>
      <c r="F23" s="834"/>
      <c r="G23" s="300" t="s">
        <v>166</v>
      </c>
      <c r="H23" s="1146"/>
      <c r="I23" s="300" t="s">
        <v>166</v>
      </c>
      <c r="L23" s="232"/>
      <c r="M23" s="232"/>
    </row>
    <row r="24" spans="1:13">
      <c r="A24" s="232"/>
      <c r="B24" s="232"/>
      <c r="C24" s="232"/>
      <c r="D24" s="232"/>
      <c r="E24" s="834"/>
      <c r="F24" s="834"/>
      <c r="G24" s="300" t="s">
        <v>167</v>
      </c>
      <c r="H24" s="1146"/>
      <c r="I24" s="300" t="s">
        <v>167</v>
      </c>
      <c r="J24" s="232" t="s">
        <v>169</v>
      </c>
      <c r="L24" s="232"/>
      <c r="M24" s="232"/>
    </row>
    <row r="25" spans="1:13">
      <c r="A25" s="232"/>
      <c r="B25" s="232"/>
      <c r="C25" s="232"/>
      <c r="D25" s="232"/>
      <c r="E25" s="834"/>
      <c r="F25" s="834"/>
      <c r="G25" s="300" t="s">
        <v>168</v>
      </c>
      <c r="H25" s="1146"/>
      <c r="I25" s="300" t="s">
        <v>168</v>
      </c>
      <c r="L25" s="232"/>
      <c r="M25" s="232"/>
    </row>
    <row r="26" spans="1:13">
      <c r="A26" s="232"/>
      <c r="B26" s="232"/>
      <c r="C26" s="232"/>
      <c r="D26" s="232"/>
      <c r="E26" s="834"/>
      <c r="F26" s="834"/>
      <c r="G26" s="835"/>
      <c r="H26" s="1146"/>
      <c r="L26" s="232"/>
      <c r="M26" s="232"/>
    </row>
    <row r="30" spans="1:13">
      <c r="I30" s="300" t="e">
        <f>#REF!/8000</f>
        <v>#REF!</v>
      </c>
    </row>
  </sheetData>
  <mergeCells count="2">
    <mergeCell ref="I4:I6"/>
    <mergeCell ref="J10:J11"/>
  </mergeCells>
  <pageMargins left="0" right="0" top="0" bottom="0" header="0.3" footer="0"/>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zoomScale="110" zoomScaleNormal="110" workbookViewId="0">
      <selection activeCell="E13" sqref="E13"/>
    </sheetView>
  </sheetViews>
  <sheetFormatPr defaultColWidth="9" defaultRowHeight="15"/>
  <cols>
    <col min="1" max="1" width="7.875" style="242" customWidth="1"/>
    <col min="2" max="2" width="69" style="12" customWidth="1"/>
    <col min="3" max="3" width="9.375" style="242" customWidth="1"/>
    <col min="4" max="4" width="8.375" style="242" hidden="1" customWidth="1"/>
    <col min="5" max="5" width="12.75" style="12" customWidth="1"/>
    <col min="6" max="6" width="13.625" style="12" customWidth="1"/>
    <col min="7" max="7" width="12.375" style="243" customWidth="1"/>
    <col min="8" max="8" width="9" style="69" customWidth="1"/>
    <col min="9" max="9" width="14.25" style="244" customWidth="1"/>
    <col min="10" max="11" width="9" style="12" customWidth="1"/>
    <col min="12" max="12" width="10.25" style="12" bestFit="1" customWidth="1"/>
    <col min="13" max="13" width="18.25" style="12" bestFit="1" customWidth="1"/>
    <col min="14" max="16384" width="9" style="12"/>
  </cols>
  <sheetData>
    <row r="1" spans="1:14" ht="15.75">
      <c r="A1" s="1856" t="s">
        <v>88</v>
      </c>
      <c r="B1" s="1856"/>
      <c r="C1" s="1856"/>
      <c r="D1" s="1856"/>
      <c r="E1" s="1856"/>
      <c r="F1" s="1856"/>
      <c r="G1" s="1856"/>
      <c r="H1" s="1856"/>
      <c r="I1" s="1856"/>
    </row>
    <row r="2" spans="1:14" ht="16.5" thickBot="1">
      <c r="A2" s="30"/>
      <c r="B2" s="5"/>
      <c r="C2" s="30"/>
      <c r="D2" s="30"/>
      <c r="E2" s="5"/>
      <c r="F2" s="5"/>
      <c r="G2" s="239"/>
      <c r="H2" s="240" t="s">
        <v>70</v>
      </c>
      <c r="I2" s="32" t="s">
        <v>69</v>
      </c>
    </row>
    <row r="3" spans="1:14" s="13" customFormat="1" ht="63">
      <c r="A3" s="1873" t="s">
        <v>14</v>
      </c>
      <c r="B3" s="1873" t="s">
        <v>3</v>
      </c>
      <c r="C3" s="316"/>
      <c r="D3" s="1873" t="s">
        <v>20</v>
      </c>
      <c r="E3" s="358" t="s">
        <v>18</v>
      </c>
      <c r="F3" s="359" t="s">
        <v>17</v>
      </c>
      <c r="G3" s="360" t="s">
        <v>19</v>
      </c>
      <c r="H3" s="353" t="s">
        <v>68</v>
      </c>
      <c r="I3" s="320" t="s">
        <v>72</v>
      </c>
      <c r="J3" s="13" t="s">
        <v>830</v>
      </c>
      <c r="M3" s="13">
        <v>1</v>
      </c>
    </row>
    <row r="4" spans="1:14" s="13" customFormat="1" ht="15.75">
      <c r="A4" s="1873"/>
      <c r="B4" s="1873"/>
      <c r="C4" s="316"/>
      <c r="D4" s="1873"/>
      <c r="E4" s="1200" t="s">
        <v>101</v>
      </c>
      <c r="F4" s="1200"/>
      <c r="G4" s="360" t="s">
        <v>163</v>
      </c>
      <c r="H4" s="354">
        <v>8</v>
      </c>
      <c r="I4" s="321"/>
    </row>
    <row r="5" spans="1:14" s="41" customFormat="1" ht="15.75">
      <c r="A5" s="361">
        <v>1</v>
      </c>
      <c r="B5" s="362"/>
      <c r="C5" s="1205"/>
      <c r="D5" s="80"/>
      <c r="E5" s="363"/>
      <c r="F5" s="364"/>
      <c r="G5" s="365">
        <f>SUM(G6:G13)</f>
        <v>156.5625</v>
      </c>
      <c r="H5" s="355"/>
      <c r="I5" s="322">
        <f>SUM(I6:I12)*105%</f>
        <v>560.4375</v>
      </c>
      <c r="J5" s="41">
        <v>659</v>
      </c>
      <c r="K5" s="12">
        <v>2</v>
      </c>
      <c r="M5" s="348">
        <f>G5*8000</f>
        <v>1252500</v>
      </c>
      <c r="N5" s="348">
        <f>M5/M3</f>
        <v>1252500</v>
      </c>
    </row>
    <row r="6" spans="1:14" ht="15.75">
      <c r="A6" s="316">
        <v>1</v>
      </c>
      <c r="B6" s="366" t="s">
        <v>77</v>
      </c>
      <c r="C6" s="316"/>
      <c r="D6" s="367" t="s">
        <v>171</v>
      </c>
      <c r="E6" s="368">
        <v>40000</v>
      </c>
      <c r="F6" s="369">
        <f t="shared" ref="F6:F13" si="0">M6/8000</f>
        <v>6.2500000000000001E-4</v>
      </c>
      <c r="G6" s="370">
        <f t="shared" ref="G6:G13" si="1">E6*F6</f>
        <v>25</v>
      </c>
      <c r="H6" s="356">
        <v>4</v>
      </c>
      <c r="I6" s="33">
        <f>$G6*H6</f>
        <v>100</v>
      </c>
      <c r="K6" s="12">
        <v>3</v>
      </c>
      <c r="M6" s="241">
        <v>5</v>
      </c>
    </row>
    <row r="7" spans="1:14" ht="15.75">
      <c r="A7" s="316">
        <v>2</v>
      </c>
      <c r="B7" s="366" t="s">
        <v>78</v>
      </c>
      <c r="C7" s="316"/>
      <c r="D7" s="367" t="s">
        <v>172</v>
      </c>
      <c r="E7" s="368">
        <v>550000</v>
      </c>
      <c r="F7" s="369">
        <f t="shared" si="0"/>
        <v>1.25E-4</v>
      </c>
      <c r="G7" s="370">
        <f t="shared" si="1"/>
        <v>68.75</v>
      </c>
      <c r="H7" s="356">
        <v>4</v>
      </c>
      <c r="I7" s="33">
        <f t="shared" ref="I7:I12" si="2">$G7*H7</f>
        <v>275</v>
      </c>
      <c r="K7" s="12">
        <v>4</v>
      </c>
      <c r="M7" s="241">
        <v>1</v>
      </c>
    </row>
    <row r="8" spans="1:14" ht="15.75">
      <c r="A8" s="316">
        <v>3</v>
      </c>
      <c r="B8" s="366" t="s">
        <v>80</v>
      </c>
      <c r="C8" s="316"/>
      <c r="D8" s="367" t="s">
        <v>173</v>
      </c>
      <c r="E8" s="368">
        <v>30000</v>
      </c>
      <c r="F8" s="369">
        <f t="shared" si="0"/>
        <v>6.2500000000000001E-4</v>
      </c>
      <c r="G8" s="370">
        <f t="shared" si="1"/>
        <v>18.75</v>
      </c>
      <c r="H8" s="356">
        <v>1</v>
      </c>
      <c r="I8" s="33">
        <f t="shared" si="2"/>
        <v>18.75</v>
      </c>
      <c r="K8" s="12">
        <v>6</v>
      </c>
      <c r="M8" s="241">
        <v>5</v>
      </c>
    </row>
    <row r="9" spans="1:14" ht="15.75">
      <c r="A9" s="316">
        <v>4</v>
      </c>
      <c r="B9" s="366" t="s">
        <v>21</v>
      </c>
      <c r="C9" s="316"/>
      <c r="D9" s="367" t="s">
        <v>130</v>
      </c>
      <c r="E9" s="368">
        <v>1500</v>
      </c>
      <c r="F9" s="369">
        <f t="shared" si="0"/>
        <v>3.7499999999999999E-3</v>
      </c>
      <c r="G9" s="370">
        <f t="shared" si="1"/>
        <v>5.625</v>
      </c>
      <c r="H9" s="356">
        <v>4</v>
      </c>
      <c r="I9" s="33">
        <f t="shared" si="2"/>
        <v>22.5</v>
      </c>
      <c r="K9" s="12">
        <v>7</v>
      </c>
      <c r="M9" s="241">
        <v>30</v>
      </c>
    </row>
    <row r="10" spans="1:14" ht="15.75">
      <c r="A10" s="316">
        <v>5</v>
      </c>
      <c r="B10" s="366" t="s">
        <v>83</v>
      </c>
      <c r="C10" s="316"/>
      <c r="D10" s="367" t="s">
        <v>130</v>
      </c>
      <c r="E10" s="368">
        <v>15000</v>
      </c>
      <c r="F10" s="369">
        <f t="shared" si="0"/>
        <v>3.7500000000000001E-4</v>
      </c>
      <c r="G10" s="370">
        <f t="shared" si="1"/>
        <v>5.625</v>
      </c>
      <c r="H10" s="356">
        <v>4</v>
      </c>
      <c r="I10" s="33">
        <f t="shared" si="2"/>
        <v>22.5</v>
      </c>
      <c r="K10" s="12">
        <v>9</v>
      </c>
      <c r="M10" s="241">
        <v>3</v>
      </c>
    </row>
    <row r="11" spans="1:14" ht="15.75">
      <c r="A11" s="316">
        <v>6</v>
      </c>
      <c r="B11" s="366" t="s">
        <v>84</v>
      </c>
      <c r="C11" s="316"/>
      <c r="D11" s="367" t="s">
        <v>172</v>
      </c>
      <c r="E11" s="368">
        <v>20000</v>
      </c>
      <c r="F11" s="369">
        <f t="shared" si="0"/>
        <v>6.2500000000000001E-4</v>
      </c>
      <c r="G11" s="370">
        <f t="shared" si="1"/>
        <v>12.5</v>
      </c>
      <c r="H11" s="356">
        <v>4</v>
      </c>
      <c r="I11" s="33">
        <f t="shared" si="2"/>
        <v>50</v>
      </c>
      <c r="K11" s="12">
        <v>10</v>
      </c>
      <c r="M11" s="241">
        <v>5</v>
      </c>
    </row>
    <row r="12" spans="1:14" ht="15.75">
      <c r="A12" s="316">
        <v>7</v>
      </c>
      <c r="B12" s="366" t="s">
        <v>85</v>
      </c>
      <c r="C12" s="316"/>
      <c r="D12" s="367" t="s">
        <v>172</v>
      </c>
      <c r="E12" s="368">
        <v>18000</v>
      </c>
      <c r="F12" s="369">
        <f t="shared" si="0"/>
        <v>6.2500000000000001E-4</v>
      </c>
      <c r="G12" s="370">
        <f t="shared" si="1"/>
        <v>11.25</v>
      </c>
      <c r="H12" s="356">
        <v>4</v>
      </c>
      <c r="I12" s="33">
        <f t="shared" si="2"/>
        <v>45</v>
      </c>
      <c r="K12" s="12">
        <v>11</v>
      </c>
      <c r="M12" s="241">
        <v>5</v>
      </c>
    </row>
    <row r="13" spans="1:14" ht="15.75">
      <c r="A13" s="316">
        <v>8</v>
      </c>
      <c r="B13" s="366" t="s">
        <v>87</v>
      </c>
      <c r="C13" s="316"/>
      <c r="D13" s="367" t="s">
        <v>130</v>
      </c>
      <c r="E13" s="368">
        <v>14500</v>
      </c>
      <c r="F13" s="369">
        <f t="shared" si="0"/>
        <v>6.2500000000000001E-4</v>
      </c>
      <c r="G13" s="370">
        <f t="shared" si="1"/>
        <v>9.0625</v>
      </c>
      <c r="H13" s="357">
        <f>(H10*0.1+H11*0.04)*H$4</f>
        <v>4.4800000000000004</v>
      </c>
      <c r="I13" s="143">
        <f>$G13*H13*E13</f>
        <v>588700</v>
      </c>
      <c r="K13" s="12">
        <v>13</v>
      </c>
      <c r="M13" s="241">
        <v>5</v>
      </c>
    </row>
    <row r="14" spans="1:14" ht="15.75" thickBot="1"/>
    <row r="15" spans="1:14" ht="16.5" customHeight="1">
      <c r="A15" s="227" t="s">
        <v>14</v>
      </c>
      <c r="B15" s="227" t="s">
        <v>133</v>
      </c>
      <c r="C15" s="228" t="s">
        <v>20</v>
      </c>
      <c r="D15" s="227" t="s">
        <v>110</v>
      </c>
      <c r="E15" s="228" t="s">
        <v>28</v>
      </c>
      <c r="F15" s="228" t="s">
        <v>19</v>
      </c>
    </row>
    <row r="16" spans="1:14" ht="16.5" customHeight="1">
      <c r="A16" s="412">
        <f>'Nhan-cong-Trung Uong'!A3</f>
        <v>1</v>
      </c>
      <c r="B16" s="413" t="str">
        <f>'Nhan-cong-Trung Uong'!B3</f>
        <v>Công tác chuẩn bị</v>
      </c>
      <c r="C16" s="386"/>
      <c r="D16" s="319"/>
      <c r="E16" s="319"/>
      <c r="F16" s="414"/>
      <c r="G16" s="409"/>
      <c r="L16" s="439"/>
      <c r="M16" s="411">
        <f>F16</f>
        <v>0</v>
      </c>
    </row>
    <row r="17" spans="1:14" ht="16.5" customHeight="1">
      <c r="A17" s="236" t="str">
        <f>'Nhan-cong-Trung Uong'!A4</f>
        <v>1.1</v>
      </c>
      <c r="B17" s="391" t="str">
        <f>'Nhan-cong-Trung Uong'!B4</f>
        <v>Lập kế hoạch thi công chi tiết: Xác định thời gian, địa điểm, khối lượng và nhân lực thực hiện của từng bước công việc; kế hoạch làm việc với các đơn vị có liên quan đến công tác xây dựng cơ sở dữ liệu địa chính</v>
      </c>
      <c r="C17" s="386" t="str">
        <f>'Nhan-cong-Trung Uong'!C4</f>
        <v>Huyện</v>
      </c>
      <c r="D17" s="841">
        <f>'Nhan-cong-Trung Uong'!F4</f>
        <v>30</v>
      </c>
      <c r="E17" s="1218">
        <f>D17/$D$35</f>
        <v>8.5999085054414601E-2</v>
      </c>
      <c r="F17" s="414">
        <f>E17*$G$5*M3</f>
        <v>13.464231753831786</v>
      </c>
      <c r="G17" s="409"/>
      <c r="L17" s="439"/>
      <c r="M17" s="411"/>
    </row>
    <row r="18" spans="1:14" ht="16.5" customHeight="1">
      <c r="A18" s="236" t="str">
        <f>'Nhan-cong-Trung Uong'!A5</f>
        <v>1.2</v>
      </c>
      <c r="B18" s="391" t="str">
        <f>'Nhan-cong-Trung Uong'!B5</f>
        <v xml:space="preserve">Chuẩn bị vật tư, thiết bị, dụng cụ, phần mềm cho công tác xây dựng cơ sở dữ liệu địa chính; Chuẩn bị nhân lực, địa điểm làm việc
</v>
      </c>
      <c r="C18" s="386" t="str">
        <f>'Nhan-cong-Trung Uong'!C5</f>
        <v>Huyện</v>
      </c>
      <c r="D18" s="841">
        <f>'Nhan-cong-Trung Uong'!F5</f>
        <v>40</v>
      </c>
      <c r="E18" s="1218">
        <f>D18/$D$35</f>
        <v>0.11466544673921947</v>
      </c>
      <c r="F18" s="414">
        <f>E18*$G$5*M3</f>
        <v>17.952309005109047</v>
      </c>
      <c r="G18" s="409"/>
      <c r="L18" s="439"/>
      <c r="M18" s="411"/>
    </row>
    <row r="19" spans="1:14" ht="16.5" hidden="1" customHeight="1">
      <c r="A19" s="236" t="str">
        <f>'Nhan-cong-Trung Uong'!A6</f>
        <v>1.3</v>
      </c>
      <c r="B19" s="391" t="str">
        <f>'Nhan-cong-Trung Uong'!B6</f>
        <v>Chuẩn bị nhân lực, địa điểm làm việc</v>
      </c>
      <c r="C19" s="386" t="str">
        <f>'Nhan-cong-Trung Uong'!C6</f>
        <v>Huyện</v>
      </c>
      <c r="D19" s="841">
        <f>'Nhan-cong-Trung Uong'!F6</f>
        <v>0</v>
      </c>
      <c r="E19" s="1218">
        <f>D19/$D$35</f>
        <v>0</v>
      </c>
      <c r="F19" s="414">
        <f>E19*$G$5*M3</f>
        <v>0</v>
      </c>
      <c r="G19" s="409"/>
      <c r="L19" s="439"/>
      <c r="M19" s="411"/>
    </row>
    <row r="20" spans="1:14" ht="16.5" customHeight="1">
      <c r="A20" s="412">
        <f>'Nhan-cong-Trung Uong'!A7</f>
        <v>2</v>
      </c>
      <c r="B20" s="413" t="str">
        <f>'Nhan-cong-Trung Uong'!B7</f>
        <v>Thu thập tài liệu, dữ liệu</v>
      </c>
      <c r="C20" s="386" t="str">
        <f>'Nhan-cong-Trung Uong'!C7</f>
        <v>Huyện</v>
      </c>
      <c r="D20" s="841">
        <f>'Nhan-cong-Trung Uong'!F7</f>
        <v>90</v>
      </c>
      <c r="E20" s="1218">
        <f>D20/$D$35</f>
        <v>0.25799725516324379</v>
      </c>
      <c r="F20" s="414">
        <f>E20*$G$5*M3</f>
        <v>40.392695261495355</v>
      </c>
      <c r="G20" s="409"/>
      <c r="L20" s="439"/>
      <c r="M20" s="411">
        <f t="shared" ref="M20" si="3">F20*8000</f>
        <v>323141.56209196284</v>
      </c>
    </row>
    <row r="21" spans="1:14" s="1209" customFormat="1" ht="16.5" customHeight="1">
      <c r="A21" s="412">
        <f>'Nhan-cong-Trung Uong'!A8</f>
        <v>3</v>
      </c>
      <c r="B21" s="413" t="str">
        <f>'Nhan-cong-Trung Uong'!B8</f>
        <v>Xây dựng dữ liệu không gian</v>
      </c>
      <c r="C21" s="1203"/>
      <c r="D21" s="1214"/>
      <c r="E21" s="1218"/>
      <c r="F21" s="414"/>
      <c r="G21" s="1206"/>
      <c r="H21" s="1207"/>
      <c r="I21" s="1208"/>
    </row>
    <row r="22" spans="1:14" ht="16.5" customHeight="1">
      <c r="A22" s="236" t="str">
        <f>'Nhan-cong-Trung Uong'!A9</f>
        <v>3.1</v>
      </c>
      <c r="B22" s="391" t="str">
        <f>'Nhan-cong-Trung Uong'!B9</f>
        <v>Xây dựng dữ liệu nền không gian cả nước</v>
      </c>
      <c r="C22" s="386"/>
      <c r="D22" s="841"/>
      <c r="E22" s="1218"/>
      <c r="F22" s="414">
        <f>E22*$G$5*M3</f>
        <v>0</v>
      </c>
    </row>
    <row r="23" spans="1:14" ht="16.5" customHeight="1">
      <c r="A23" s="236"/>
      <c r="B23" s="391" t="str">
        <f>'Nhan-cong-Trung Uong'!B10</f>
        <v>Tách, lọc và chuẩn hóa các lớp đối tượng biên giới, địa giới; thủy hệ; giao thông; địa danh và ghi chú</v>
      </c>
      <c r="C23" s="386" t="str">
        <f>'Nhan-cong-Trung Uong'!C10</f>
        <v>Huyện</v>
      </c>
      <c r="D23" s="1246">
        <f>'Nhan-cong-Trung Uong'!F10</f>
        <v>1.5</v>
      </c>
      <c r="E23" s="1218">
        <f>D23/$D$35</f>
        <v>4.2999542527207297E-3</v>
      </c>
      <c r="F23" s="414">
        <f>E23*$G$5*J5</f>
        <v>443.64643628875734</v>
      </c>
    </row>
    <row r="24" spans="1:14" ht="16.5" customHeight="1">
      <c r="A24" s="236"/>
      <c r="B24" s="391" t="str">
        <f>'Nhan-cong-Trung Uong'!B11</f>
        <v>Gộp các thành phần tiếp giáp nhau của cùng một đối tượng thuộc các lớp dữ liệu nền không gian cả nước thành một đối tượng duy nhất phù hợp với thông tin thuộc tính của đối tượng theo phạm vi cả nước;  xử lý tiếp biên dữ liệu nền không gian cả nước của các đơn vị hành chính</v>
      </c>
      <c r="C24" s="386" t="str">
        <f>'Nhan-cong-Trung Uong'!C11</f>
        <v>Huyện</v>
      </c>
      <c r="D24" s="1245">
        <f>'Nhan-cong-Trung Uong'!F11</f>
        <v>0.33333333333333331</v>
      </c>
      <c r="E24" s="1218">
        <f>D24/$D$35</f>
        <v>9.5554538949349553E-4</v>
      </c>
      <c r="F24" s="414">
        <f>E24*$G$5*J5</f>
        <v>98.588096953057189</v>
      </c>
      <c r="L24" s="438"/>
    </row>
    <row r="25" spans="1:14" ht="16.5" customHeight="1">
      <c r="A25" s="236"/>
      <c r="B25" s="391" t="str">
        <f>'Nhan-cong-Trung Uong'!B12</f>
        <v xml:space="preserve">Chuyển đổi các lớp đối tượng nền không gian cả nước từ tệp (File) bản đồ số vào cơ sở dữ liệu
</v>
      </c>
      <c r="C25" s="386" t="str">
        <f>'Nhan-cong-Trung Uong'!C12</f>
        <v>Huyện</v>
      </c>
      <c r="D25" s="319">
        <f>'Nhan-cong-Trung Uong'!F12</f>
        <v>7.5872534142640367E-3</v>
      </c>
      <c r="E25" s="1218">
        <f>D25/$D$35</f>
        <v>2.174989505675635E-5</v>
      </c>
      <c r="F25" s="414">
        <f>E25*$G$5*J5</f>
        <v>2.2440386256386313</v>
      </c>
    </row>
    <row r="26" spans="1:14" ht="16.5" customHeight="1">
      <c r="A26" s="412">
        <f>'Nhan-cong-Trung Uong'!A13</f>
        <v>4</v>
      </c>
      <c r="B26" s="413" t="str">
        <f>'Nhan-cong-Trung Uong'!B13</f>
        <v>Xây dựng dữ liệu thuộc tính</v>
      </c>
      <c r="C26" s="386"/>
      <c r="D26" s="841"/>
      <c r="E26" s="1218"/>
      <c r="F26" s="414"/>
    </row>
    <row r="27" spans="1:14" s="243" customFormat="1" ht="16.5" customHeight="1">
      <c r="A27" s="236" t="str">
        <f>'Nhan-cong-Trung Uong'!A14</f>
        <v>4.1</v>
      </c>
      <c r="B27" s="391" t="str">
        <f>'Nhan-cong-Trung Uong'!B14</f>
        <v>Chiết xuất dữ liệu tổng hợp về đo đạc lập bản đồ địa chính, đăng ký đất đai, cấp Giấy chứng nhận quyền sử dụng đất, quyền sở hữu nhà ở và tài sản khác gắn liền với đất, lập hồ sơ địa chính từ cơ sở dữ liệu đất đai</v>
      </c>
      <c r="C27" s="386" t="str">
        <f>'Nhan-cong-Trung Uong'!C14</f>
        <v>Huyện</v>
      </c>
      <c r="D27" s="841">
        <f>'Nhan-cong-Trung Uong'!F14</f>
        <v>25</v>
      </c>
      <c r="E27" s="1218">
        <f>D27/$D$35</f>
        <v>7.1665904212012174E-2</v>
      </c>
      <c r="F27" s="414">
        <f t="shared" ref="F27:F34" si="4">E27*$G$5</f>
        <v>11.220193128193156</v>
      </c>
      <c r="H27" s="69"/>
      <c r="I27" s="244"/>
      <c r="J27" s="12"/>
      <c r="K27" s="12"/>
      <c r="L27" s="12"/>
      <c r="M27" s="12"/>
      <c r="N27" s="12"/>
    </row>
    <row r="28" spans="1:14" s="243" customFormat="1" ht="16.5" customHeight="1">
      <c r="A28" s="236" t="str">
        <f>'Nhan-cong-Trung Uong'!A15</f>
        <v>4.2</v>
      </c>
      <c r="B28" s="391" t="str">
        <f>'Nhan-cong-Trung Uong'!B15</f>
        <v>Nhập, chuyển đổi dữ liệu, tài liệu tổng hợp về đo đạc lập bản đồ địa chính, đăng ký đất đai, cấp Giấy chứng nhận quyền sử dụng đất, quyền sở hữu nhà ở và tài sản khác gắn liền với đất, lập hồ sơ địa chính của các tỉnh, thành phố trực thuộc Trung ương (đối với các địa bàn chưa vận hành cơ sở dữ liệu đất đai tập trung)</v>
      </c>
      <c r="C28" s="386" t="str">
        <f>'Nhan-cong-Trung Uong'!C15</f>
        <v>Huyện</v>
      </c>
      <c r="D28" s="841">
        <f>'Nhan-cong-Trung Uong'!F15</f>
        <v>100</v>
      </c>
      <c r="E28" s="1218">
        <f>D28/$D$35</f>
        <v>0.2866636168480487</v>
      </c>
      <c r="F28" s="414">
        <f t="shared" si="4"/>
        <v>44.880772512772623</v>
      </c>
      <c r="H28" s="69"/>
      <c r="I28" s="244"/>
      <c r="J28" s="12"/>
      <c r="K28" s="12"/>
      <c r="L28" s="12"/>
      <c r="M28" s="12"/>
      <c r="N28" s="12"/>
    </row>
    <row r="29" spans="1:14" s="243" customFormat="1" ht="16.5" customHeight="1">
      <c r="A29" s="412">
        <f>'Nhan-cong-Trung Uong'!A16</f>
        <v>5</v>
      </c>
      <c r="B29" s="413" t="str">
        <f>'Nhan-cong-Trung Uong'!B16</f>
        <v>Đối soát, hoàn thiện dữ liệu và xây dựng siêu dữ liệu</v>
      </c>
      <c r="C29" s="386"/>
      <c r="D29" s="841"/>
      <c r="E29" s="1218"/>
      <c r="F29" s="414"/>
      <c r="H29" s="69"/>
      <c r="I29" s="244"/>
      <c r="J29" s="12"/>
      <c r="K29" s="12"/>
      <c r="L29" s="12"/>
      <c r="M29" s="12"/>
      <c r="N29" s="12"/>
    </row>
    <row r="30" spans="1:14" s="243" customFormat="1" ht="16.5" customHeight="1">
      <c r="A30" s="236" t="str">
        <f>'Nhan-cong-Trung Uong'!A17</f>
        <v>5.1</v>
      </c>
      <c r="B30" s="391" t="str">
        <f>'Nhan-cong-Trung Uong'!B17</f>
        <v>Thực hiện đối soát, hoàn thiện dữ liệu, tạo liên kết dữ liệu</v>
      </c>
      <c r="C30" s="386" t="str">
        <f>'Nhan-cong-Trung Uong'!C17</f>
        <v>Huyện</v>
      </c>
      <c r="D30" s="841">
        <f>'Nhan-cong-Trung Uong'!F17</f>
        <v>25</v>
      </c>
      <c r="E30" s="1218">
        <f>D30/$D$35</f>
        <v>7.1665904212012174E-2</v>
      </c>
      <c r="F30" s="414">
        <f t="shared" si="4"/>
        <v>11.220193128193156</v>
      </c>
      <c r="H30" s="69"/>
      <c r="I30" s="244"/>
      <c r="J30" s="12"/>
      <c r="K30" s="12"/>
      <c r="L30" s="12"/>
      <c r="M30" s="12"/>
      <c r="N30" s="12"/>
    </row>
    <row r="31" spans="1:14" s="243" customFormat="1" ht="16.5" customHeight="1">
      <c r="A31" s="236" t="str">
        <f>'Nhan-cong-Trung Uong'!A18</f>
        <v>5.2</v>
      </c>
      <c r="B31" s="391" t="str">
        <f>'Nhan-cong-Trung Uong'!B18</f>
        <v>Thu nhận các thông tin cần thiết về các dữ liệu để xây dựng siêu dữ liệu</v>
      </c>
      <c r="C31" s="386" t="str">
        <f>'Nhan-cong-Trung Uong'!C18</f>
        <v>Huyện</v>
      </c>
      <c r="D31" s="841">
        <f>'Nhan-cong-Trung Uong'!F18</f>
        <v>30</v>
      </c>
      <c r="E31" s="1218">
        <f>D31/$D$35</f>
        <v>8.5999085054414601E-2</v>
      </c>
      <c r="F31" s="414">
        <f>E31*$G$5*M3</f>
        <v>13.464231753831786</v>
      </c>
      <c r="H31" s="69"/>
      <c r="I31" s="244"/>
      <c r="J31" s="12"/>
      <c r="K31" s="12"/>
      <c r="L31" s="12"/>
      <c r="M31" s="12"/>
      <c r="N31" s="12"/>
    </row>
    <row r="32" spans="1:14" s="243" customFormat="1" ht="16.5" customHeight="1">
      <c r="A32" s="236" t="str">
        <f>'Nhan-cong-Trung Uong'!A19</f>
        <v>5.3</v>
      </c>
      <c r="B32" s="391" t="str">
        <f>'Nhan-cong-Trung Uong'!B19</f>
        <v>Nhập thông tin siêu dữ liệu</v>
      </c>
      <c r="C32" s="386" t="str">
        <f>'Nhan-cong-Trung Uong'!C19</f>
        <v>Huyện</v>
      </c>
      <c r="D32" s="841">
        <f>'Nhan-cong-Trung Uong'!F19</f>
        <v>3</v>
      </c>
      <c r="E32" s="1218">
        <f>D32/$D$35</f>
        <v>8.5999085054414594E-3</v>
      </c>
      <c r="F32" s="414">
        <f>E32*$G$5*M3</f>
        <v>1.3464231753831786</v>
      </c>
      <c r="H32" s="69"/>
      <c r="I32" s="244"/>
      <c r="J32" s="12"/>
      <c r="K32" s="12"/>
      <c r="L32" s="12"/>
      <c r="M32" s="12"/>
      <c r="N32" s="12"/>
    </row>
    <row r="33" spans="1:14" s="243" customFormat="1" ht="15.75">
      <c r="A33" s="412">
        <f>'Nhan-cong-Trung Uong'!A20</f>
        <v>6</v>
      </c>
      <c r="B33" s="413" t="str">
        <f>'Nhan-cong-Trung Uong'!B20</f>
        <v>Phục vụ kiểm tra cơ sở dữ liệu (Bước 8)</v>
      </c>
      <c r="C33" s="1203"/>
      <c r="D33" s="1214"/>
      <c r="E33" s="1218"/>
      <c r="F33" s="414"/>
      <c r="H33" s="69"/>
      <c r="I33" s="244"/>
      <c r="J33" s="12"/>
      <c r="K33" s="12"/>
      <c r="L33" s="12"/>
      <c r="M33" s="12"/>
      <c r="N33" s="12"/>
    </row>
    <row r="34" spans="1:14" s="243" customFormat="1" ht="15.75">
      <c r="A34" s="236" t="str">
        <f>'Nhan-cong-Trung Uong'!A21</f>
        <v>6.1</v>
      </c>
      <c r="B34" s="391" t="str">
        <f>'Nhan-cong-Trung Uong'!B21</f>
        <v>Chuẩn bị tư liệu, tài liệu và phục vụ giám sát, kiểm tra, nghiệm thu</v>
      </c>
      <c r="C34" s="386" t="str">
        <f>'Nhan-cong-Trung Uong'!C21</f>
        <v>Huyện</v>
      </c>
      <c r="D34" s="841">
        <f>'Nhan-cong-Trung Uong'!F21</f>
        <v>4</v>
      </c>
      <c r="E34" s="1218">
        <f>D34/$D$35</f>
        <v>1.1466544673921946E-2</v>
      </c>
      <c r="F34" s="414">
        <f t="shared" si="4"/>
        <v>1.7952309005109048</v>
      </c>
      <c r="H34" s="69"/>
      <c r="I34" s="244"/>
      <c r="J34" s="12"/>
      <c r="K34" s="12"/>
      <c r="L34" s="12"/>
      <c r="M34" s="12"/>
      <c r="N34" s="12"/>
    </row>
    <row r="35" spans="1:14" s="243" customFormat="1">
      <c r="A35" s="242"/>
      <c r="B35" s="12"/>
      <c r="C35" s="242"/>
      <c r="D35" s="1075">
        <f>SUM(D16:D34)</f>
        <v>348.84092058674764</v>
      </c>
      <c r="E35" s="1173">
        <f>SUM(E17:E34)</f>
        <v>0.99999999999999978</v>
      </c>
      <c r="F35" s="12"/>
      <c r="H35" s="69"/>
      <c r="I35" s="244"/>
      <c r="J35" s="12"/>
      <c r="K35" s="12"/>
      <c r="L35" s="12"/>
      <c r="M35" s="12"/>
      <c r="N35" s="12"/>
    </row>
  </sheetData>
  <mergeCells count="4">
    <mergeCell ref="A1:I1"/>
    <mergeCell ref="A3:A4"/>
    <mergeCell ref="B3:B4"/>
    <mergeCell ref="D3:D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D348"/>
  <sheetViews>
    <sheetView zoomScale="70" zoomScaleNormal="70" workbookViewId="0">
      <pane xSplit="3" ySplit="8" topLeftCell="AU9" activePane="bottomRight" state="frozen"/>
      <selection activeCell="I10" sqref="I10:N10"/>
      <selection pane="topRight" activeCell="I10" sqref="I10:N10"/>
      <selection pane="bottomLeft" activeCell="I10" sqref="I10:N10"/>
      <selection pane="bottomRight" activeCell="I10" sqref="I10:N10"/>
    </sheetView>
  </sheetViews>
  <sheetFormatPr defaultColWidth="8" defaultRowHeight="15.75"/>
  <cols>
    <col min="1" max="1" width="5.875" style="573" customWidth="1"/>
    <col min="2" max="2" width="4.75" style="573" customWidth="1"/>
    <col min="3" max="3" width="24.375" style="573" customWidth="1"/>
    <col min="4" max="4" width="18.125" style="710" customWidth="1"/>
    <col min="5" max="5" width="8.375" style="711" hidden="1" customWidth="1"/>
    <col min="6" max="7" width="7.75" style="711" hidden="1" customWidth="1"/>
    <col min="8" max="8" width="11.125" style="711" hidden="1" customWidth="1"/>
    <col min="9" max="9" width="11.125" style="711" customWidth="1"/>
    <col min="10" max="10" width="12.875" style="573" customWidth="1"/>
    <col min="11" max="11" width="11" style="573" hidden="1" customWidth="1"/>
    <col min="12" max="12" width="11.25" style="573" hidden="1" customWidth="1"/>
    <col min="13" max="13" width="11.25" style="573" customWidth="1"/>
    <col min="14" max="14" width="12.375" style="573" bestFit="1" customWidth="1"/>
    <col min="15" max="16" width="11.25" style="573" customWidth="1"/>
    <col min="17" max="17" width="12.375" style="573" bestFit="1" customWidth="1"/>
    <col min="18" max="18" width="12.375" style="573" customWidth="1"/>
    <col min="19" max="19" width="13.125" style="573" customWidth="1"/>
    <col min="20" max="20" width="12.125" style="573" customWidth="1"/>
    <col min="21" max="21" width="13" style="573" customWidth="1"/>
    <col min="22" max="22" width="12.75" style="573" customWidth="1"/>
    <col min="23" max="24" width="9.25" style="573" customWidth="1"/>
    <col min="25" max="25" width="14.75" style="573" customWidth="1"/>
    <col min="26" max="26" width="8" style="573"/>
    <col min="27" max="27" width="16.375" style="573" bestFit="1" customWidth="1"/>
    <col min="28" max="29" width="16.375" style="573" customWidth="1"/>
    <col min="30" max="33" width="16.25" style="573" bestFit="1" customWidth="1"/>
    <col min="34" max="34" width="19.375" style="573" bestFit="1" customWidth="1"/>
    <col min="35" max="35" width="19.375" style="573" customWidth="1"/>
    <col min="36" max="38" width="16.25" style="573" bestFit="1" customWidth="1"/>
    <col min="39" max="39" width="18" style="573" customWidth="1"/>
    <col min="40" max="40" width="16.25" style="573" bestFit="1" customWidth="1"/>
    <col min="41" max="41" width="19.875" style="573" customWidth="1"/>
    <col min="42" max="42" width="20.125" style="573" bestFit="1" customWidth="1"/>
    <col min="43" max="43" width="18" style="573" customWidth="1"/>
    <col min="44" max="44" width="17.125" style="573" customWidth="1"/>
    <col min="45" max="45" width="17.375" style="573" customWidth="1"/>
    <col min="46" max="46" width="16.25" style="573" bestFit="1" customWidth="1"/>
    <col min="47" max="47" width="17.375" style="573" bestFit="1" customWidth="1"/>
    <col min="48" max="48" width="19.25" style="573" customWidth="1"/>
    <col min="49" max="49" width="20.125" style="573" bestFit="1" customWidth="1"/>
    <col min="50" max="50" width="19.625" style="573" bestFit="1" customWidth="1"/>
    <col min="51" max="51" width="10.375" style="573" customWidth="1"/>
    <col min="52" max="52" width="13.75" style="573" customWidth="1"/>
    <col min="53" max="53" width="17.125" style="573" customWidth="1"/>
    <col min="54" max="54" width="13.375" style="573" bestFit="1" customWidth="1"/>
    <col min="55" max="258" width="8" style="573"/>
    <col min="259" max="259" width="5.875" style="573" customWidth="1"/>
    <col min="260" max="260" width="4.75" style="573" customWidth="1"/>
    <col min="261" max="261" width="24.375" style="573" customWidth="1"/>
    <col min="262" max="262" width="18.125" style="573" customWidth="1"/>
    <col min="263" max="266" width="0" style="573" hidden="1" customWidth="1"/>
    <col min="267" max="267" width="11.125" style="573" customWidth="1"/>
    <col min="268" max="268" width="12.875" style="573" customWidth="1"/>
    <col min="269" max="270" width="0" style="573" hidden="1" customWidth="1"/>
    <col min="271" max="271" width="11.25" style="573" customWidth="1"/>
    <col min="272" max="272" width="12.375" style="573" bestFit="1" customWidth="1"/>
    <col min="273" max="274" width="11.25" style="573" customWidth="1"/>
    <col min="275" max="275" width="12.375" style="573" bestFit="1" customWidth="1"/>
    <col min="276" max="276" width="12.375" style="573" customWidth="1"/>
    <col min="277" max="277" width="13.125" style="573" customWidth="1"/>
    <col min="278" max="278" width="12.125" style="573" customWidth="1"/>
    <col min="279" max="279" width="13" style="573" customWidth="1"/>
    <col min="280" max="280" width="12.75" style="573" customWidth="1"/>
    <col min="281" max="282" width="9.25" style="573" customWidth="1"/>
    <col min="283" max="283" width="14.75" style="573" customWidth="1"/>
    <col min="284" max="284" width="8" style="573"/>
    <col min="285" max="285" width="16.375" style="573" bestFit="1" customWidth="1"/>
    <col min="286" max="289" width="16.25" style="573" bestFit="1" customWidth="1"/>
    <col min="290" max="290" width="17.75" style="573" bestFit="1" customWidth="1"/>
    <col min="291" max="293" width="16.25" style="573" bestFit="1" customWidth="1"/>
    <col min="294" max="294" width="15.125" style="573" bestFit="1" customWidth="1"/>
    <col min="295" max="295" width="16.25" style="573" bestFit="1" customWidth="1"/>
    <col min="296" max="296" width="19.875" style="573" customWidth="1"/>
    <col min="297" max="297" width="20.125" style="573" bestFit="1" customWidth="1"/>
    <col min="298" max="299" width="15.125" style="573" bestFit="1" customWidth="1"/>
    <col min="300" max="300" width="16.25" style="573" bestFit="1" customWidth="1"/>
    <col min="301" max="301" width="20.75" style="573" customWidth="1"/>
    <col min="302" max="302" width="16.25" style="573" bestFit="1" customWidth="1"/>
    <col min="303" max="303" width="17.375" style="573" bestFit="1" customWidth="1"/>
    <col min="304" max="304" width="15.125" style="573" bestFit="1" customWidth="1"/>
    <col min="305" max="305" width="20.125" style="573" bestFit="1" customWidth="1"/>
    <col min="306" max="306" width="19.625" style="573" bestFit="1" customWidth="1"/>
    <col min="307" max="307" width="10.375" style="573" customWidth="1"/>
    <col min="308" max="308" width="13.75" style="573" customWidth="1"/>
    <col min="309" max="309" width="17.125" style="573" customWidth="1"/>
    <col min="310" max="310" width="13.375" style="573" bestFit="1" customWidth="1"/>
    <col min="311" max="514" width="8" style="573"/>
    <col min="515" max="515" width="5.875" style="573" customWidth="1"/>
    <col min="516" max="516" width="4.75" style="573" customWidth="1"/>
    <col min="517" max="517" width="24.375" style="573" customWidth="1"/>
    <col min="518" max="518" width="18.125" style="573" customWidth="1"/>
    <col min="519" max="522" width="0" style="573" hidden="1" customWidth="1"/>
    <col min="523" max="523" width="11.125" style="573" customWidth="1"/>
    <col min="524" max="524" width="12.875" style="573" customWidth="1"/>
    <col min="525" max="526" width="0" style="573" hidden="1" customWidth="1"/>
    <col min="527" max="527" width="11.25" style="573" customWidth="1"/>
    <col min="528" max="528" width="12.375" style="573" bestFit="1" customWidth="1"/>
    <col min="529" max="530" width="11.25" style="573" customWidth="1"/>
    <col min="531" max="531" width="12.375" style="573" bestFit="1" customWidth="1"/>
    <col min="532" max="532" width="12.375" style="573" customWidth="1"/>
    <col min="533" max="533" width="13.125" style="573" customWidth="1"/>
    <col min="534" max="534" width="12.125" style="573" customWidth="1"/>
    <col min="535" max="535" width="13" style="573" customWidth="1"/>
    <col min="536" max="536" width="12.75" style="573" customWidth="1"/>
    <col min="537" max="538" width="9.25" style="573" customWidth="1"/>
    <col min="539" max="539" width="14.75" style="573" customWidth="1"/>
    <col min="540" max="540" width="8" style="573"/>
    <col min="541" max="541" width="16.375" style="573" bestFit="1" customWidth="1"/>
    <col min="542" max="545" width="16.25" style="573" bestFit="1" customWidth="1"/>
    <col min="546" max="546" width="17.75" style="573" bestFit="1" customWidth="1"/>
    <col min="547" max="549" width="16.25" style="573" bestFit="1" customWidth="1"/>
    <col min="550" max="550" width="15.125" style="573" bestFit="1" customWidth="1"/>
    <col min="551" max="551" width="16.25" style="573" bestFit="1" customWidth="1"/>
    <col min="552" max="552" width="19.875" style="573" customWidth="1"/>
    <col min="553" max="553" width="20.125" style="573" bestFit="1" customWidth="1"/>
    <col min="554" max="555" width="15.125" style="573" bestFit="1" customWidth="1"/>
    <col min="556" max="556" width="16.25" style="573" bestFit="1" customWidth="1"/>
    <col min="557" max="557" width="20.75" style="573" customWidth="1"/>
    <col min="558" max="558" width="16.25" style="573" bestFit="1" customWidth="1"/>
    <col min="559" max="559" width="17.375" style="573" bestFit="1" customWidth="1"/>
    <col min="560" max="560" width="15.125" style="573" bestFit="1" customWidth="1"/>
    <col min="561" max="561" width="20.125" style="573" bestFit="1" customWidth="1"/>
    <col min="562" max="562" width="19.625" style="573" bestFit="1" customWidth="1"/>
    <col min="563" max="563" width="10.375" style="573" customWidth="1"/>
    <col min="564" max="564" width="13.75" style="573" customWidth="1"/>
    <col min="565" max="565" width="17.125" style="573" customWidth="1"/>
    <col min="566" max="566" width="13.375" style="573" bestFit="1" customWidth="1"/>
    <col min="567" max="770" width="8" style="573"/>
    <col min="771" max="771" width="5.875" style="573" customWidth="1"/>
    <col min="772" max="772" width="4.75" style="573" customWidth="1"/>
    <col min="773" max="773" width="24.375" style="573" customWidth="1"/>
    <col min="774" max="774" width="18.125" style="573" customWidth="1"/>
    <col min="775" max="778" width="0" style="573" hidden="1" customWidth="1"/>
    <col min="779" max="779" width="11.125" style="573" customWidth="1"/>
    <col min="780" max="780" width="12.875" style="573" customWidth="1"/>
    <col min="781" max="782" width="0" style="573" hidden="1" customWidth="1"/>
    <col min="783" max="783" width="11.25" style="573" customWidth="1"/>
    <col min="784" max="784" width="12.375" style="573" bestFit="1" customWidth="1"/>
    <col min="785" max="786" width="11.25" style="573" customWidth="1"/>
    <col min="787" max="787" width="12.375" style="573" bestFit="1" customWidth="1"/>
    <col min="788" max="788" width="12.375" style="573" customWidth="1"/>
    <col min="789" max="789" width="13.125" style="573" customWidth="1"/>
    <col min="790" max="790" width="12.125" style="573" customWidth="1"/>
    <col min="791" max="791" width="13" style="573" customWidth="1"/>
    <col min="792" max="792" width="12.75" style="573" customWidth="1"/>
    <col min="793" max="794" width="9.25" style="573" customWidth="1"/>
    <col min="795" max="795" width="14.75" style="573" customWidth="1"/>
    <col min="796" max="796" width="8" style="573"/>
    <col min="797" max="797" width="16.375" style="573" bestFit="1" customWidth="1"/>
    <col min="798" max="801" width="16.25" style="573" bestFit="1" customWidth="1"/>
    <col min="802" max="802" width="17.75" style="573" bestFit="1" customWidth="1"/>
    <col min="803" max="805" width="16.25" style="573" bestFit="1" customWidth="1"/>
    <col min="806" max="806" width="15.125" style="573" bestFit="1" customWidth="1"/>
    <col min="807" max="807" width="16.25" style="573" bestFit="1" customWidth="1"/>
    <col min="808" max="808" width="19.875" style="573" customWidth="1"/>
    <col min="809" max="809" width="20.125" style="573" bestFit="1" customWidth="1"/>
    <col min="810" max="811" width="15.125" style="573" bestFit="1" customWidth="1"/>
    <col min="812" max="812" width="16.25" style="573" bestFit="1" customWidth="1"/>
    <col min="813" max="813" width="20.75" style="573" customWidth="1"/>
    <col min="814" max="814" width="16.25" style="573" bestFit="1" customWidth="1"/>
    <col min="815" max="815" width="17.375" style="573" bestFit="1" customWidth="1"/>
    <col min="816" max="816" width="15.125" style="573" bestFit="1" customWidth="1"/>
    <col min="817" max="817" width="20.125" style="573" bestFit="1" customWidth="1"/>
    <col min="818" max="818" width="19.625" style="573" bestFit="1" customWidth="1"/>
    <col min="819" max="819" width="10.375" style="573" customWidth="1"/>
    <col min="820" max="820" width="13.75" style="573" customWidth="1"/>
    <col min="821" max="821" width="17.125" style="573" customWidth="1"/>
    <col min="822" max="822" width="13.375" style="573" bestFit="1" customWidth="1"/>
    <col min="823" max="1026" width="8" style="573"/>
    <col min="1027" max="1027" width="5.875" style="573" customWidth="1"/>
    <col min="1028" max="1028" width="4.75" style="573" customWidth="1"/>
    <col min="1029" max="1029" width="24.375" style="573" customWidth="1"/>
    <col min="1030" max="1030" width="18.125" style="573" customWidth="1"/>
    <col min="1031" max="1034" width="0" style="573" hidden="1" customWidth="1"/>
    <col min="1035" max="1035" width="11.125" style="573" customWidth="1"/>
    <col min="1036" max="1036" width="12.875" style="573" customWidth="1"/>
    <col min="1037" max="1038" width="0" style="573" hidden="1" customWidth="1"/>
    <col min="1039" max="1039" width="11.25" style="573" customWidth="1"/>
    <col min="1040" max="1040" width="12.375" style="573" bestFit="1" customWidth="1"/>
    <col min="1041" max="1042" width="11.25" style="573" customWidth="1"/>
    <col min="1043" max="1043" width="12.375" style="573" bestFit="1" customWidth="1"/>
    <col min="1044" max="1044" width="12.375" style="573" customWidth="1"/>
    <col min="1045" max="1045" width="13.125" style="573" customWidth="1"/>
    <col min="1046" max="1046" width="12.125" style="573" customWidth="1"/>
    <col min="1047" max="1047" width="13" style="573" customWidth="1"/>
    <col min="1048" max="1048" width="12.75" style="573" customWidth="1"/>
    <col min="1049" max="1050" width="9.25" style="573" customWidth="1"/>
    <col min="1051" max="1051" width="14.75" style="573" customWidth="1"/>
    <col min="1052" max="1052" width="8" style="573"/>
    <col min="1053" max="1053" width="16.375" style="573" bestFit="1" customWidth="1"/>
    <col min="1054" max="1057" width="16.25" style="573" bestFit="1" customWidth="1"/>
    <col min="1058" max="1058" width="17.75" style="573" bestFit="1" customWidth="1"/>
    <col min="1059" max="1061" width="16.25" style="573" bestFit="1" customWidth="1"/>
    <col min="1062" max="1062" width="15.125" style="573" bestFit="1" customWidth="1"/>
    <col min="1063" max="1063" width="16.25" style="573" bestFit="1" customWidth="1"/>
    <col min="1064" max="1064" width="19.875" style="573" customWidth="1"/>
    <col min="1065" max="1065" width="20.125" style="573" bestFit="1" customWidth="1"/>
    <col min="1066" max="1067" width="15.125" style="573" bestFit="1" customWidth="1"/>
    <col min="1068" max="1068" width="16.25" style="573" bestFit="1" customWidth="1"/>
    <col min="1069" max="1069" width="20.75" style="573" customWidth="1"/>
    <col min="1070" max="1070" width="16.25" style="573" bestFit="1" customWidth="1"/>
    <col min="1071" max="1071" width="17.375" style="573" bestFit="1" customWidth="1"/>
    <col min="1072" max="1072" width="15.125" style="573" bestFit="1" customWidth="1"/>
    <col min="1073" max="1073" width="20.125" style="573" bestFit="1" customWidth="1"/>
    <col min="1074" max="1074" width="19.625" style="573" bestFit="1" customWidth="1"/>
    <col min="1075" max="1075" width="10.375" style="573" customWidth="1"/>
    <col min="1076" max="1076" width="13.75" style="573" customWidth="1"/>
    <col min="1077" max="1077" width="17.125" style="573" customWidth="1"/>
    <col min="1078" max="1078" width="13.375" style="573" bestFit="1" customWidth="1"/>
    <col min="1079" max="1282" width="8" style="573"/>
    <col min="1283" max="1283" width="5.875" style="573" customWidth="1"/>
    <col min="1284" max="1284" width="4.75" style="573" customWidth="1"/>
    <col min="1285" max="1285" width="24.375" style="573" customWidth="1"/>
    <col min="1286" max="1286" width="18.125" style="573" customWidth="1"/>
    <col min="1287" max="1290" width="0" style="573" hidden="1" customWidth="1"/>
    <col min="1291" max="1291" width="11.125" style="573" customWidth="1"/>
    <col min="1292" max="1292" width="12.875" style="573" customWidth="1"/>
    <col min="1293" max="1294" width="0" style="573" hidden="1" customWidth="1"/>
    <col min="1295" max="1295" width="11.25" style="573" customWidth="1"/>
    <col min="1296" max="1296" width="12.375" style="573" bestFit="1" customWidth="1"/>
    <col min="1297" max="1298" width="11.25" style="573" customWidth="1"/>
    <col min="1299" max="1299" width="12.375" style="573" bestFit="1" customWidth="1"/>
    <col min="1300" max="1300" width="12.375" style="573" customWidth="1"/>
    <col min="1301" max="1301" width="13.125" style="573" customWidth="1"/>
    <col min="1302" max="1302" width="12.125" style="573" customWidth="1"/>
    <col min="1303" max="1303" width="13" style="573" customWidth="1"/>
    <col min="1304" max="1304" width="12.75" style="573" customWidth="1"/>
    <col min="1305" max="1306" width="9.25" style="573" customWidth="1"/>
    <col min="1307" max="1307" width="14.75" style="573" customWidth="1"/>
    <col min="1308" max="1308" width="8" style="573"/>
    <col min="1309" max="1309" width="16.375" style="573" bestFit="1" customWidth="1"/>
    <col min="1310" max="1313" width="16.25" style="573" bestFit="1" customWidth="1"/>
    <col min="1314" max="1314" width="17.75" style="573" bestFit="1" customWidth="1"/>
    <col min="1315" max="1317" width="16.25" style="573" bestFit="1" customWidth="1"/>
    <col min="1318" max="1318" width="15.125" style="573" bestFit="1" customWidth="1"/>
    <col min="1319" max="1319" width="16.25" style="573" bestFit="1" customWidth="1"/>
    <col min="1320" max="1320" width="19.875" style="573" customWidth="1"/>
    <col min="1321" max="1321" width="20.125" style="573" bestFit="1" customWidth="1"/>
    <col min="1322" max="1323" width="15.125" style="573" bestFit="1" customWidth="1"/>
    <col min="1324" max="1324" width="16.25" style="573" bestFit="1" customWidth="1"/>
    <col min="1325" max="1325" width="20.75" style="573" customWidth="1"/>
    <col min="1326" max="1326" width="16.25" style="573" bestFit="1" customWidth="1"/>
    <col min="1327" max="1327" width="17.375" style="573" bestFit="1" customWidth="1"/>
    <col min="1328" max="1328" width="15.125" style="573" bestFit="1" customWidth="1"/>
    <col min="1329" max="1329" width="20.125" style="573" bestFit="1" customWidth="1"/>
    <col min="1330" max="1330" width="19.625" style="573" bestFit="1" customWidth="1"/>
    <col min="1331" max="1331" width="10.375" style="573" customWidth="1"/>
    <col min="1332" max="1332" width="13.75" style="573" customWidth="1"/>
    <col min="1333" max="1333" width="17.125" style="573" customWidth="1"/>
    <col min="1334" max="1334" width="13.375" style="573" bestFit="1" customWidth="1"/>
    <col min="1335" max="1538" width="8" style="573"/>
    <col min="1539" max="1539" width="5.875" style="573" customWidth="1"/>
    <col min="1540" max="1540" width="4.75" style="573" customWidth="1"/>
    <col min="1541" max="1541" width="24.375" style="573" customWidth="1"/>
    <col min="1542" max="1542" width="18.125" style="573" customWidth="1"/>
    <col min="1543" max="1546" width="0" style="573" hidden="1" customWidth="1"/>
    <col min="1547" max="1547" width="11.125" style="573" customWidth="1"/>
    <col min="1548" max="1548" width="12.875" style="573" customWidth="1"/>
    <col min="1549" max="1550" width="0" style="573" hidden="1" customWidth="1"/>
    <col min="1551" max="1551" width="11.25" style="573" customWidth="1"/>
    <col min="1552" max="1552" width="12.375" style="573" bestFit="1" customWidth="1"/>
    <col min="1553" max="1554" width="11.25" style="573" customWidth="1"/>
    <col min="1555" max="1555" width="12.375" style="573" bestFit="1" customWidth="1"/>
    <col min="1556" max="1556" width="12.375" style="573" customWidth="1"/>
    <col min="1557" max="1557" width="13.125" style="573" customWidth="1"/>
    <col min="1558" max="1558" width="12.125" style="573" customWidth="1"/>
    <col min="1559" max="1559" width="13" style="573" customWidth="1"/>
    <col min="1560" max="1560" width="12.75" style="573" customWidth="1"/>
    <col min="1561" max="1562" width="9.25" style="573" customWidth="1"/>
    <col min="1563" max="1563" width="14.75" style="573" customWidth="1"/>
    <col min="1564" max="1564" width="8" style="573"/>
    <col min="1565" max="1565" width="16.375" style="573" bestFit="1" customWidth="1"/>
    <col min="1566" max="1569" width="16.25" style="573" bestFit="1" customWidth="1"/>
    <col min="1570" max="1570" width="17.75" style="573" bestFit="1" customWidth="1"/>
    <col min="1571" max="1573" width="16.25" style="573" bestFit="1" customWidth="1"/>
    <col min="1574" max="1574" width="15.125" style="573" bestFit="1" customWidth="1"/>
    <col min="1575" max="1575" width="16.25" style="573" bestFit="1" customWidth="1"/>
    <col min="1576" max="1576" width="19.875" style="573" customWidth="1"/>
    <col min="1577" max="1577" width="20.125" style="573" bestFit="1" customWidth="1"/>
    <col min="1578" max="1579" width="15.125" style="573" bestFit="1" customWidth="1"/>
    <col min="1580" max="1580" width="16.25" style="573" bestFit="1" customWidth="1"/>
    <col min="1581" max="1581" width="20.75" style="573" customWidth="1"/>
    <col min="1582" max="1582" width="16.25" style="573" bestFit="1" customWidth="1"/>
    <col min="1583" max="1583" width="17.375" style="573" bestFit="1" customWidth="1"/>
    <col min="1584" max="1584" width="15.125" style="573" bestFit="1" customWidth="1"/>
    <col min="1585" max="1585" width="20.125" style="573" bestFit="1" customWidth="1"/>
    <col min="1586" max="1586" width="19.625" style="573" bestFit="1" customWidth="1"/>
    <col min="1587" max="1587" width="10.375" style="573" customWidth="1"/>
    <col min="1588" max="1588" width="13.75" style="573" customWidth="1"/>
    <col min="1589" max="1589" width="17.125" style="573" customWidth="1"/>
    <col min="1590" max="1590" width="13.375" style="573" bestFit="1" customWidth="1"/>
    <col min="1591" max="1794" width="8" style="573"/>
    <col min="1795" max="1795" width="5.875" style="573" customWidth="1"/>
    <col min="1796" max="1796" width="4.75" style="573" customWidth="1"/>
    <col min="1797" max="1797" width="24.375" style="573" customWidth="1"/>
    <col min="1798" max="1798" width="18.125" style="573" customWidth="1"/>
    <col min="1799" max="1802" width="0" style="573" hidden="1" customWidth="1"/>
    <col min="1803" max="1803" width="11.125" style="573" customWidth="1"/>
    <col min="1804" max="1804" width="12.875" style="573" customWidth="1"/>
    <col min="1805" max="1806" width="0" style="573" hidden="1" customWidth="1"/>
    <col min="1807" max="1807" width="11.25" style="573" customWidth="1"/>
    <col min="1808" max="1808" width="12.375" style="573" bestFit="1" customWidth="1"/>
    <col min="1809" max="1810" width="11.25" style="573" customWidth="1"/>
    <col min="1811" max="1811" width="12.375" style="573" bestFit="1" customWidth="1"/>
    <col min="1812" max="1812" width="12.375" style="573" customWidth="1"/>
    <col min="1813" max="1813" width="13.125" style="573" customWidth="1"/>
    <col min="1814" max="1814" width="12.125" style="573" customWidth="1"/>
    <col min="1815" max="1815" width="13" style="573" customWidth="1"/>
    <col min="1816" max="1816" width="12.75" style="573" customWidth="1"/>
    <col min="1817" max="1818" width="9.25" style="573" customWidth="1"/>
    <col min="1819" max="1819" width="14.75" style="573" customWidth="1"/>
    <col min="1820" max="1820" width="8" style="573"/>
    <col min="1821" max="1821" width="16.375" style="573" bestFit="1" customWidth="1"/>
    <col min="1822" max="1825" width="16.25" style="573" bestFit="1" customWidth="1"/>
    <col min="1826" max="1826" width="17.75" style="573" bestFit="1" customWidth="1"/>
    <col min="1827" max="1829" width="16.25" style="573" bestFit="1" customWidth="1"/>
    <col min="1830" max="1830" width="15.125" style="573" bestFit="1" customWidth="1"/>
    <col min="1831" max="1831" width="16.25" style="573" bestFit="1" customWidth="1"/>
    <col min="1832" max="1832" width="19.875" style="573" customWidth="1"/>
    <col min="1833" max="1833" width="20.125" style="573" bestFit="1" customWidth="1"/>
    <col min="1834" max="1835" width="15.125" style="573" bestFit="1" customWidth="1"/>
    <col min="1836" max="1836" width="16.25" style="573" bestFit="1" customWidth="1"/>
    <col min="1837" max="1837" width="20.75" style="573" customWidth="1"/>
    <col min="1838" max="1838" width="16.25" style="573" bestFit="1" customWidth="1"/>
    <col min="1839" max="1839" width="17.375" style="573" bestFit="1" customWidth="1"/>
    <col min="1840" max="1840" width="15.125" style="573" bestFit="1" customWidth="1"/>
    <col min="1841" max="1841" width="20.125" style="573" bestFit="1" customWidth="1"/>
    <col min="1842" max="1842" width="19.625" style="573" bestFit="1" customWidth="1"/>
    <col min="1843" max="1843" width="10.375" style="573" customWidth="1"/>
    <col min="1844" max="1844" width="13.75" style="573" customWidth="1"/>
    <col min="1845" max="1845" width="17.125" style="573" customWidth="1"/>
    <col min="1846" max="1846" width="13.375" style="573" bestFit="1" customWidth="1"/>
    <col min="1847" max="2050" width="8" style="573"/>
    <col min="2051" max="2051" width="5.875" style="573" customWidth="1"/>
    <col min="2052" max="2052" width="4.75" style="573" customWidth="1"/>
    <col min="2053" max="2053" width="24.375" style="573" customWidth="1"/>
    <col min="2054" max="2054" width="18.125" style="573" customWidth="1"/>
    <col min="2055" max="2058" width="0" style="573" hidden="1" customWidth="1"/>
    <col min="2059" max="2059" width="11.125" style="573" customWidth="1"/>
    <col min="2060" max="2060" width="12.875" style="573" customWidth="1"/>
    <col min="2061" max="2062" width="0" style="573" hidden="1" customWidth="1"/>
    <col min="2063" max="2063" width="11.25" style="573" customWidth="1"/>
    <col min="2064" max="2064" width="12.375" style="573" bestFit="1" customWidth="1"/>
    <col min="2065" max="2066" width="11.25" style="573" customWidth="1"/>
    <col min="2067" max="2067" width="12.375" style="573" bestFit="1" customWidth="1"/>
    <col min="2068" max="2068" width="12.375" style="573" customWidth="1"/>
    <col min="2069" max="2069" width="13.125" style="573" customWidth="1"/>
    <col min="2070" max="2070" width="12.125" style="573" customWidth="1"/>
    <col min="2071" max="2071" width="13" style="573" customWidth="1"/>
    <col min="2072" max="2072" width="12.75" style="573" customWidth="1"/>
    <col min="2073" max="2074" width="9.25" style="573" customWidth="1"/>
    <col min="2075" max="2075" width="14.75" style="573" customWidth="1"/>
    <col min="2076" max="2076" width="8" style="573"/>
    <col min="2077" max="2077" width="16.375" style="573" bestFit="1" customWidth="1"/>
    <col min="2078" max="2081" width="16.25" style="573" bestFit="1" customWidth="1"/>
    <col min="2082" max="2082" width="17.75" style="573" bestFit="1" customWidth="1"/>
    <col min="2083" max="2085" width="16.25" style="573" bestFit="1" customWidth="1"/>
    <col min="2086" max="2086" width="15.125" style="573" bestFit="1" customWidth="1"/>
    <col min="2087" max="2087" width="16.25" style="573" bestFit="1" customWidth="1"/>
    <col min="2088" max="2088" width="19.875" style="573" customWidth="1"/>
    <col min="2089" max="2089" width="20.125" style="573" bestFit="1" customWidth="1"/>
    <col min="2090" max="2091" width="15.125" style="573" bestFit="1" customWidth="1"/>
    <col min="2092" max="2092" width="16.25" style="573" bestFit="1" customWidth="1"/>
    <col min="2093" max="2093" width="20.75" style="573" customWidth="1"/>
    <col min="2094" max="2094" width="16.25" style="573" bestFit="1" customWidth="1"/>
    <col min="2095" max="2095" width="17.375" style="573" bestFit="1" customWidth="1"/>
    <col min="2096" max="2096" width="15.125" style="573" bestFit="1" customWidth="1"/>
    <col min="2097" max="2097" width="20.125" style="573" bestFit="1" customWidth="1"/>
    <col min="2098" max="2098" width="19.625" style="573" bestFit="1" customWidth="1"/>
    <col min="2099" max="2099" width="10.375" style="573" customWidth="1"/>
    <col min="2100" max="2100" width="13.75" style="573" customWidth="1"/>
    <col min="2101" max="2101" width="17.125" style="573" customWidth="1"/>
    <col min="2102" max="2102" width="13.375" style="573" bestFit="1" customWidth="1"/>
    <col min="2103" max="2306" width="8" style="573"/>
    <col min="2307" max="2307" width="5.875" style="573" customWidth="1"/>
    <col min="2308" max="2308" width="4.75" style="573" customWidth="1"/>
    <col min="2309" max="2309" width="24.375" style="573" customWidth="1"/>
    <col min="2310" max="2310" width="18.125" style="573" customWidth="1"/>
    <col min="2311" max="2314" width="0" style="573" hidden="1" customWidth="1"/>
    <col min="2315" max="2315" width="11.125" style="573" customWidth="1"/>
    <col min="2316" max="2316" width="12.875" style="573" customWidth="1"/>
    <col min="2317" max="2318" width="0" style="573" hidden="1" customWidth="1"/>
    <col min="2319" max="2319" width="11.25" style="573" customWidth="1"/>
    <col min="2320" max="2320" width="12.375" style="573" bestFit="1" customWidth="1"/>
    <col min="2321" max="2322" width="11.25" style="573" customWidth="1"/>
    <col min="2323" max="2323" width="12.375" style="573" bestFit="1" customWidth="1"/>
    <col min="2324" max="2324" width="12.375" style="573" customWidth="1"/>
    <col min="2325" max="2325" width="13.125" style="573" customWidth="1"/>
    <col min="2326" max="2326" width="12.125" style="573" customWidth="1"/>
    <col min="2327" max="2327" width="13" style="573" customWidth="1"/>
    <col min="2328" max="2328" width="12.75" style="573" customWidth="1"/>
    <col min="2329" max="2330" width="9.25" style="573" customWidth="1"/>
    <col min="2331" max="2331" width="14.75" style="573" customWidth="1"/>
    <col min="2332" max="2332" width="8" style="573"/>
    <col min="2333" max="2333" width="16.375" style="573" bestFit="1" customWidth="1"/>
    <col min="2334" max="2337" width="16.25" style="573" bestFit="1" customWidth="1"/>
    <col min="2338" max="2338" width="17.75" style="573" bestFit="1" customWidth="1"/>
    <col min="2339" max="2341" width="16.25" style="573" bestFit="1" customWidth="1"/>
    <col min="2342" max="2342" width="15.125" style="573" bestFit="1" customWidth="1"/>
    <col min="2343" max="2343" width="16.25" style="573" bestFit="1" customWidth="1"/>
    <col min="2344" max="2344" width="19.875" style="573" customWidth="1"/>
    <col min="2345" max="2345" width="20.125" style="573" bestFit="1" customWidth="1"/>
    <col min="2346" max="2347" width="15.125" style="573" bestFit="1" customWidth="1"/>
    <col min="2348" max="2348" width="16.25" style="573" bestFit="1" customWidth="1"/>
    <col min="2349" max="2349" width="20.75" style="573" customWidth="1"/>
    <col min="2350" max="2350" width="16.25" style="573" bestFit="1" customWidth="1"/>
    <col min="2351" max="2351" width="17.375" style="573" bestFit="1" customWidth="1"/>
    <col min="2352" max="2352" width="15.125" style="573" bestFit="1" customWidth="1"/>
    <col min="2353" max="2353" width="20.125" style="573" bestFit="1" customWidth="1"/>
    <col min="2354" max="2354" width="19.625" style="573" bestFit="1" customWidth="1"/>
    <col min="2355" max="2355" width="10.375" style="573" customWidth="1"/>
    <col min="2356" max="2356" width="13.75" style="573" customWidth="1"/>
    <col min="2357" max="2357" width="17.125" style="573" customWidth="1"/>
    <col min="2358" max="2358" width="13.375" style="573" bestFit="1" customWidth="1"/>
    <col min="2359" max="2562" width="8" style="573"/>
    <col min="2563" max="2563" width="5.875" style="573" customWidth="1"/>
    <col min="2564" max="2564" width="4.75" style="573" customWidth="1"/>
    <col min="2565" max="2565" width="24.375" style="573" customWidth="1"/>
    <col min="2566" max="2566" width="18.125" style="573" customWidth="1"/>
    <col min="2567" max="2570" width="0" style="573" hidden="1" customWidth="1"/>
    <col min="2571" max="2571" width="11.125" style="573" customWidth="1"/>
    <col min="2572" max="2572" width="12.875" style="573" customWidth="1"/>
    <col min="2573" max="2574" width="0" style="573" hidden="1" customWidth="1"/>
    <col min="2575" max="2575" width="11.25" style="573" customWidth="1"/>
    <col min="2576" max="2576" width="12.375" style="573" bestFit="1" customWidth="1"/>
    <col min="2577" max="2578" width="11.25" style="573" customWidth="1"/>
    <col min="2579" max="2579" width="12.375" style="573" bestFit="1" customWidth="1"/>
    <col min="2580" max="2580" width="12.375" style="573" customWidth="1"/>
    <col min="2581" max="2581" width="13.125" style="573" customWidth="1"/>
    <col min="2582" max="2582" width="12.125" style="573" customWidth="1"/>
    <col min="2583" max="2583" width="13" style="573" customWidth="1"/>
    <col min="2584" max="2584" width="12.75" style="573" customWidth="1"/>
    <col min="2585" max="2586" width="9.25" style="573" customWidth="1"/>
    <col min="2587" max="2587" width="14.75" style="573" customWidth="1"/>
    <col min="2588" max="2588" width="8" style="573"/>
    <col min="2589" max="2589" width="16.375" style="573" bestFit="1" customWidth="1"/>
    <col min="2590" max="2593" width="16.25" style="573" bestFit="1" customWidth="1"/>
    <col min="2594" max="2594" width="17.75" style="573" bestFit="1" customWidth="1"/>
    <col min="2595" max="2597" width="16.25" style="573" bestFit="1" customWidth="1"/>
    <col min="2598" max="2598" width="15.125" style="573" bestFit="1" customWidth="1"/>
    <col min="2599" max="2599" width="16.25" style="573" bestFit="1" customWidth="1"/>
    <col min="2600" max="2600" width="19.875" style="573" customWidth="1"/>
    <col min="2601" max="2601" width="20.125" style="573" bestFit="1" customWidth="1"/>
    <col min="2602" max="2603" width="15.125" style="573" bestFit="1" customWidth="1"/>
    <col min="2604" max="2604" width="16.25" style="573" bestFit="1" customWidth="1"/>
    <col min="2605" max="2605" width="20.75" style="573" customWidth="1"/>
    <col min="2606" max="2606" width="16.25" style="573" bestFit="1" customWidth="1"/>
    <col min="2607" max="2607" width="17.375" style="573" bestFit="1" customWidth="1"/>
    <col min="2608" max="2608" width="15.125" style="573" bestFit="1" customWidth="1"/>
    <col min="2609" max="2609" width="20.125" style="573" bestFit="1" customWidth="1"/>
    <col min="2610" max="2610" width="19.625" style="573" bestFit="1" customWidth="1"/>
    <col min="2611" max="2611" width="10.375" style="573" customWidth="1"/>
    <col min="2612" max="2612" width="13.75" style="573" customWidth="1"/>
    <col min="2613" max="2613" width="17.125" style="573" customWidth="1"/>
    <col min="2614" max="2614" width="13.375" style="573" bestFit="1" customWidth="1"/>
    <col min="2615" max="2818" width="8" style="573"/>
    <col min="2819" max="2819" width="5.875" style="573" customWidth="1"/>
    <col min="2820" max="2820" width="4.75" style="573" customWidth="1"/>
    <col min="2821" max="2821" width="24.375" style="573" customWidth="1"/>
    <col min="2822" max="2822" width="18.125" style="573" customWidth="1"/>
    <col min="2823" max="2826" width="0" style="573" hidden="1" customWidth="1"/>
    <col min="2827" max="2827" width="11.125" style="573" customWidth="1"/>
    <col min="2828" max="2828" width="12.875" style="573" customWidth="1"/>
    <col min="2829" max="2830" width="0" style="573" hidden="1" customWidth="1"/>
    <col min="2831" max="2831" width="11.25" style="573" customWidth="1"/>
    <col min="2832" max="2832" width="12.375" style="573" bestFit="1" customWidth="1"/>
    <col min="2833" max="2834" width="11.25" style="573" customWidth="1"/>
    <col min="2835" max="2835" width="12.375" style="573" bestFit="1" customWidth="1"/>
    <col min="2836" max="2836" width="12.375" style="573" customWidth="1"/>
    <col min="2837" max="2837" width="13.125" style="573" customWidth="1"/>
    <col min="2838" max="2838" width="12.125" style="573" customWidth="1"/>
    <col min="2839" max="2839" width="13" style="573" customWidth="1"/>
    <col min="2840" max="2840" width="12.75" style="573" customWidth="1"/>
    <col min="2841" max="2842" width="9.25" style="573" customWidth="1"/>
    <col min="2843" max="2843" width="14.75" style="573" customWidth="1"/>
    <col min="2844" max="2844" width="8" style="573"/>
    <col min="2845" max="2845" width="16.375" style="573" bestFit="1" customWidth="1"/>
    <col min="2846" max="2849" width="16.25" style="573" bestFit="1" customWidth="1"/>
    <col min="2850" max="2850" width="17.75" style="573" bestFit="1" customWidth="1"/>
    <col min="2851" max="2853" width="16.25" style="573" bestFit="1" customWidth="1"/>
    <col min="2854" max="2854" width="15.125" style="573" bestFit="1" customWidth="1"/>
    <col min="2855" max="2855" width="16.25" style="573" bestFit="1" customWidth="1"/>
    <col min="2856" max="2856" width="19.875" style="573" customWidth="1"/>
    <col min="2857" max="2857" width="20.125" style="573" bestFit="1" customWidth="1"/>
    <col min="2858" max="2859" width="15.125" style="573" bestFit="1" customWidth="1"/>
    <col min="2860" max="2860" width="16.25" style="573" bestFit="1" customWidth="1"/>
    <col min="2861" max="2861" width="20.75" style="573" customWidth="1"/>
    <col min="2862" max="2862" width="16.25" style="573" bestFit="1" customWidth="1"/>
    <col min="2863" max="2863" width="17.375" style="573" bestFit="1" customWidth="1"/>
    <col min="2864" max="2864" width="15.125" style="573" bestFit="1" customWidth="1"/>
    <col min="2865" max="2865" width="20.125" style="573" bestFit="1" customWidth="1"/>
    <col min="2866" max="2866" width="19.625" style="573" bestFit="1" customWidth="1"/>
    <col min="2867" max="2867" width="10.375" style="573" customWidth="1"/>
    <col min="2868" max="2868" width="13.75" style="573" customWidth="1"/>
    <col min="2869" max="2869" width="17.125" style="573" customWidth="1"/>
    <col min="2870" max="2870" width="13.375" style="573" bestFit="1" customWidth="1"/>
    <col min="2871" max="3074" width="8" style="573"/>
    <col min="3075" max="3075" width="5.875" style="573" customWidth="1"/>
    <col min="3076" max="3076" width="4.75" style="573" customWidth="1"/>
    <col min="3077" max="3077" width="24.375" style="573" customWidth="1"/>
    <col min="3078" max="3078" width="18.125" style="573" customWidth="1"/>
    <col min="3079" max="3082" width="0" style="573" hidden="1" customWidth="1"/>
    <col min="3083" max="3083" width="11.125" style="573" customWidth="1"/>
    <col min="3084" max="3084" width="12.875" style="573" customWidth="1"/>
    <col min="3085" max="3086" width="0" style="573" hidden="1" customWidth="1"/>
    <col min="3087" max="3087" width="11.25" style="573" customWidth="1"/>
    <col min="3088" max="3088" width="12.375" style="573" bestFit="1" customWidth="1"/>
    <col min="3089" max="3090" width="11.25" style="573" customWidth="1"/>
    <col min="3091" max="3091" width="12.375" style="573" bestFit="1" customWidth="1"/>
    <col min="3092" max="3092" width="12.375" style="573" customWidth="1"/>
    <col min="3093" max="3093" width="13.125" style="573" customWidth="1"/>
    <col min="3094" max="3094" width="12.125" style="573" customWidth="1"/>
    <col min="3095" max="3095" width="13" style="573" customWidth="1"/>
    <col min="3096" max="3096" width="12.75" style="573" customWidth="1"/>
    <col min="3097" max="3098" width="9.25" style="573" customWidth="1"/>
    <col min="3099" max="3099" width="14.75" style="573" customWidth="1"/>
    <col min="3100" max="3100" width="8" style="573"/>
    <col min="3101" max="3101" width="16.375" style="573" bestFit="1" customWidth="1"/>
    <col min="3102" max="3105" width="16.25" style="573" bestFit="1" customWidth="1"/>
    <col min="3106" max="3106" width="17.75" style="573" bestFit="1" customWidth="1"/>
    <col min="3107" max="3109" width="16.25" style="573" bestFit="1" customWidth="1"/>
    <col min="3110" max="3110" width="15.125" style="573" bestFit="1" customWidth="1"/>
    <col min="3111" max="3111" width="16.25" style="573" bestFit="1" customWidth="1"/>
    <col min="3112" max="3112" width="19.875" style="573" customWidth="1"/>
    <col min="3113" max="3113" width="20.125" style="573" bestFit="1" customWidth="1"/>
    <col min="3114" max="3115" width="15.125" style="573" bestFit="1" customWidth="1"/>
    <col min="3116" max="3116" width="16.25" style="573" bestFit="1" customWidth="1"/>
    <col min="3117" max="3117" width="20.75" style="573" customWidth="1"/>
    <col min="3118" max="3118" width="16.25" style="573" bestFit="1" customWidth="1"/>
    <col min="3119" max="3119" width="17.375" style="573" bestFit="1" customWidth="1"/>
    <col min="3120" max="3120" width="15.125" style="573" bestFit="1" customWidth="1"/>
    <col min="3121" max="3121" width="20.125" style="573" bestFit="1" customWidth="1"/>
    <col min="3122" max="3122" width="19.625" style="573" bestFit="1" customWidth="1"/>
    <col min="3123" max="3123" width="10.375" style="573" customWidth="1"/>
    <col min="3124" max="3124" width="13.75" style="573" customWidth="1"/>
    <col min="3125" max="3125" width="17.125" style="573" customWidth="1"/>
    <col min="3126" max="3126" width="13.375" style="573" bestFit="1" customWidth="1"/>
    <col min="3127" max="3330" width="8" style="573"/>
    <col min="3331" max="3331" width="5.875" style="573" customWidth="1"/>
    <col min="3332" max="3332" width="4.75" style="573" customWidth="1"/>
    <col min="3333" max="3333" width="24.375" style="573" customWidth="1"/>
    <col min="3334" max="3334" width="18.125" style="573" customWidth="1"/>
    <col min="3335" max="3338" width="0" style="573" hidden="1" customWidth="1"/>
    <col min="3339" max="3339" width="11.125" style="573" customWidth="1"/>
    <col min="3340" max="3340" width="12.875" style="573" customWidth="1"/>
    <col min="3341" max="3342" width="0" style="573" hidden="1" customWidth="1"/>
    <col min="3343" max="3343" width="11.25" style="573" customWidth="1"/>
    <col min="3344" max="3344" width="12.375" style="573" bestFit="1" customWidth="1"/>
    <col min="3345" max="3346" width="11.25" style="573" customWidth="1"/>
    <col min="3347" max="3347" width="12.375" style="573" bestFit="1" customWidth="1"/>
    <col min="3348" max="3348" width="12.375" style="573" customWidth="1"/>
    <col min="3349" max="3349" width="13.125" style="573" customWidth="1"/>
    <col min="3350" max="3350" width="12.125" style="573" customWidth="1"/>
    <col min="3351" max="3351" width="13" style="573" customWidth="1"/>
    <col min="3352" max="3352" width="12.75" style="573" customWidth="1"/>
    <col min="3353" max="3354" width="9.25" style="573" customWidth="1"/>
    <col min="3355" max="3355" width="14.75" style="573" customWidth="1"/>
    <col min="3356" max="3356" width="8" style="573"/>
    <col min="3357" max="3357" width="16.375" style="573" bestFit="1" customWidth="1"/>
    <col min="3358" max="3361" width="16.25" style="573" bestFit="1" customWidth="1"/>
    <col min="3362" max="3362" width="17.75" style="573" bestFit="1" customWidth="1"/>
    <col min="3363" max="3365" width="16.25" style="573" bestFit="1" customWidth="1"/>
    <col min="3366" max="3366" width="15.125" style="573" bestFit="1" customWidth="1"/>
    <col min="3367" max="3367" width="16.25" style="573" bestFit="1" customWidth="1"/>
    <col min="3368" max="3368" width="19.875" style="573" customWidth="1"/>
    <col min="3369" max="3369" width="20.125" style="573" bestFit="1" customWidth="1"/>
    <col min="3370" max="3371" width="15.125" style="573" bestFit="1" customWidth="1"/>
    <col min="3372" max="3372" width="16.25" style="573" bestFit="1" customWidth="1"/>
    <col min="3373" max="3373" width="20.75" style="573" customWidth="1"/>
    <col min="3374" max="3374" width="16.25" style="573" bestFit="1" customWidth="1"/>
    <col min="3375" max="3375" width="17.375" style="573" bestFit="1" customWidth="1"/>
    <col min="3376" max="3376" width="15.125" style="573" bestFit="1" customWidth="1"/>
    <col min="3377" max="3377" width="20.125" style="573" bestFit="1" customWidth="1"/>
    <col min="3378" max="3378" width="19.625" style="573" bestFit="1" customWidth="1"/>
    <col min="3379" max="3379" width="10.375" style="573" customWidth="1"/>
    <col min="3380" max="3380" width="13.75" style="573" customWidth="1"/>
    <col min="3381" max="3381" width="17.125" style="573" customWidth="1"/>
    <col min="3382" max="3382" width="13.375" style="573" bestFit="1" customWidth="1"/>
    <col min="3383" max="3586" width="8" style="573"/>
    <col min="3587" max="3587" width="5.875" style="573" customWidth="1"/>
    <col min="3588" max="3588" width="4.75" style="573" customWidth="1"/>
    <col min="3589" max="3589" width="24.375" style="573" customWidth="1"/>
    <col min="3590" max="3590" width="18.125" style="573" customWidth="1"/>
    <col min="3591" max="3594" width="0" style="573" hidden="1" customWidth="1"/>
    <col min="3595" max="3595" width="11.125" style="573" customWidth="1"/>
    <col min="3596" max="3596" width="12.875" style="573" customWidth="1"/>
    <col min="3597" max="3598" width="0" style="573" hidden="1" customWidth="1"/>
    <col min="3599" max="3599" width="11.25" style="573" customWidth="1"/>
    <col min="3600" max="3600" width="12.375" style="573" bestFit="1" customWidth="1"/>
    <col min="3601" max="3602" width="11.25" style="573" customWidth="1"/>
    <col min="3603" max="3603" width="12.375" style="573" bestFit="1" customWidth="1"/>
    <col min="3604" max="3604" width="12.375" style="573" customWidth="1"/>
    <col min="3605" max="3605" width="13.125" style="573" customWidth="1"/>
    <col min="3606" max="3606" width="12.125" style="573" customWidth="1"/>
    <col min="3607" max="3607" width="13" style="573" customWidth="1"/>
    <col min="3608" max="3608" width="12.75" style="573" customWidth="1"/>
    <col min="3609" max="3610" width="9.25" style="573" customWidth="1"/>
    <col min="3611" max="3611" width="14.75" style="573" customWidth="1"/>
    <col min="3612" max="3612" width="8" style="573"/>
    <col min="3613" max="3613" width="16.375" style="573" bestFit="1" customWidth="1"/>
    <col min="3614" max="3617" width="16.25" style="573" bestFit="1" customWidth="1"/>
    <col min="3618" max="3618" width="17.75" style="573" bestFit="1" customWidth="1"/>
    <col min="3619" max="3621" width="16.25" style="573" bestFit="1" customWidth="1"/>
    <col min="3622" max="3622" width="15.125" style="573" bestFit="1" customWidth="1"/>
    <col min="3623" max="3623" width="16.25" style="573" bestFit="1" customWidth="1"/>
    <col min="3624" max="3624" width="19.875" style="573" customWidth="1"/>
    <col min="3625" max="3625" width="20.125" style="573" bestFit="1" customWidth="1"/>
    <col min="3626" max="3627" width="15.125" style="573" bestFit="1" customWidth="1"/>
    <col min="3628" max="3628" width="16.25" style="573" bestFit="1" customWidth="1"/>
    <col min="3629" max="3629" width="20.75" style="573" customWidth="1"/>
    <col min="3630" max="3630" width="16.25" style="573" bestFit="1" customWidth="1"/>
    <col min="3631" max="3631" width="17.375" style="573" bestFit="1" customWidth="1"/>
    <col min="3632" max="3632" width="15.125" style="573" bestFit="1" customWidth="1"/>
    <col min="3633" max="3633" width="20.125" style="573" bestFit="1" customWidth="1"/>
    <col min="3634" max="3634" width="19.625" style="573" bestFit="1" customWidth="1"/>
    <col min="3635" max="3635" width="10.375" style="573" customWidth="1"/>
    <col min="3636" max="3636" width="13.75" style="573" customWidth="1"/>
    <col min="3637" max="3637" width="17.125" style="573" customWidth="1"/>
    <col min="3638" max="3638" width="13.375" style="573" bestFit="1" customWidth="1"/>
    <col min="3639" max="3842" width="8" style="573"/>
    <col min="3843" max="3843" width="5.875" style="573" customWidth="1"/>
    <col min="3844" max="3844" width="4.75" style="573" customWidth="1"/>
    <col min="3845" max="3845" width="24.375" style="573" customWidth="1"/>
    <col min="3846" max="3846" width="18.125" style="573" customWidth="1"/>
    <col min="3847" max="3850" width="0" style="573" hidden="1" customWidth="1"/>
    <col min="3851" max="3851" width="11.125" style="573" customWidth="1"/>
    <col min="3852" max="3852" width="12.875" style="573" customWidth="1"/>
    <col min="3853" max="3854" width="0" style="573" hidden="1" customWidth="1"/>
    <col min="3855" max="3855" width="11.25" style="573" customWidth="1"/>
    <col min="3856" max="3856" width="12.375" style="573" bestFit="1" customWidth="1"/>
    <col min="3857" max="3858" width="11.25" style="573" customWidth="1"/>
    <col min="3859" max="3859" width="12.375" style="573" bestFit="1" customWidth="1"/>
    <col min="3860" max="3860" width="12.375" style="573" customWidth="1"/>
    <col min="3861" max="3861" width="13.125" style="573" customWidth="1"/>
    <col min="3862" max="3862" width="12.125" style="573" customWidth="1"/>
    <col min="3863" max="3863" width="13" style="573" customWidth="1"/>
    <col min="3864" max="3864" width="12.75" style="573" customWidth="1"/>
    <col min="3865" max="3866" width="9.25" style="573" customWidth="1"/>
    <col min="3867" max="3867" width="14.75" style="573" customWidth="1"/>
    <col min="3868" max="3868" width="8" style="573"/>
    <col min="3869" max="3869" width="16.375" style="573" bestFit="1" customWidth="1"/>
    <col min="3870" max="3873" width="16.25" style="573" bestFit="1" customWidth="1"/>
    <col min="3874" max="3874" width="17.75" style="573" bestFit="1" customWidth="1"/>
    <col min="3875" max="3877" width="16.25" style="573" bestFit="1" customWidth="1"/>
    <col min="3878" max="3878" width="15.125" style="573" bestFit="1" customWidth="1"/>
    <col min="3879" max="3879" width="16.25" style="573" bestFit="1" customWidth="1"/>
    <col min="3880" max="3880" width="19.875" style="573" customWidth="1"/>
    <col min="3881" max="3881" width="20.125" style="573" bestFit="1" customWidth="1"/>
    <col min="3882" max="3883" width="15.125" style="573" bestFit="1" customWidth="1"/>
    <col min="3884" max="3884" width="16.25" style="573" bestFit="1" customWidth="1"/>
    <col min="3885" max="3885" width="20.75" style="573" customWidth="1"/>
    <col min="3886" max="3886" width="16.25" style="573" bestFit="1" customWidth="1"/>
    <col min="3887" max="3887" width="17.375" style="573" bestFit="1" customWidth="1"/>
    <col min="3888" max="3888" width="15.125" style="573" bestFit="1" customWidth="1"/>
    <col min="3889" max="3889" width="20.125" style="573" bestFit="1" customWidth="1"/>
    <col min="3890" max="3890" width="19.625" style="573" bestFit="1" customWidth="1"/>
    <col min="3891" max="3891" width="10.375" style="573" customWidth="1"/>
    <col min="3892" max="3892" width="13.75" style="573" customWidth="1"/>
    <col min="3893" max="3893" width="17.125" style="573" customWidth="1"/>
    <col min="3894" max="3894" width="13.375" style="573" bestFit="1" customWidth="1"/>
    <col min="3895" max="4098" width="8" style="573"/>
    <col min="4099" max="4099" width="5.875" style="573" customWidth="1"/>
    <col min="4100" max="4100" width="4.75" style="573" customWidth="1"/>
    <col min="4101" max="4101" width="24.375" style="573" customWidth="1"/>
    <col min="4102" max="4102" width="18.125" style="573" customWidth="1"/>
    <col min="4103" max="4106" width="0" style="573" hidden="1" customWidth="1"/>
    <col min="4107" max="4107" width="11.125" style="573" customWidth="1"/>
    <col min="4108" max="4108" width="12.875" style="573" customWidth="1"/>
    <col min="4109" max="4110" width="0" style="573" hidden="1" customWidth="1"/>
    <col min="4111" max="4111" width="11.25" style="573" customWidth="1"/>
    <col min="4112" max="4112" width="12.375" style="573" bestFit="1" customWidth="1"/>
    <col min="4113" max="4114" width="11.25" style="573" customWidth="1"/>
    <col min="4115" max="4115" width="12.375" style="573" bestFit="1" customWidth="1"/>
    <col min="4116" max="4116" width="12.375" style="573" customWidth="1"/>
    <col min="4117" max="4117" width="13.125" style="573" customWidth="1"/>
    <col min="4118" max="4118" width="12.125" style="573" customWidth="1"/>
    <col min="4119" max="4119" width="13" style="573" customWidth="1"/>
    <col min="4120" max="4120" width="12.75" style="573" customWidth="1"/>
    <col min="4121" max="4122" width="9.25" style="573" customWidth="1"/>
    <col min="4123" max="4123" width="14.75" style="573" customWidth="1"/>
    <col min="4124" max="4124" width="8" style="573"/>
    <col min="4125" max="4125" width="16.375" style="573" bestFit="1" customWidth="1"/>
    <col min="4126" max="4129" width="16.25" style="573" bestFit="1" customWidth="1"/>
    <col min="4130" max="4130" width="17.75" style="573" bestFit="1" customWidth="1"/>
    <col min="4131" max="4133" width="16.25" style="573" bestFit="1" customWidth="1"/>
    <col min="4134" max="4134" width="15.125" style="573" bestFit="1" customWidth="1"/>
    <col min="4135" max="4135" width="16.25" style="573" bestFit="1" customWidth="1"/>
    <col min="4136" max="4136" width="19.875" style="573" customWidth="1"/>
    <col min="4137" max="4137" width="20.125" style="573" bestFit="1" customWidth="1"/>
    <col min="4138" max="4139" width="15.125" style="573" bestFit="1" customWidth="1"/>
    <col min="4140" max="4140" width="16.25" style="573" bestFit="1" customWidth="1"/>
    <col min="4141" max="4141" width="20.75" style="573" customWidth="1"/>
    <col min="4142" max="4142" width="16.25" style="573" bestFit="1" customWidth="1"/>
    <col min="4143" max="4143" width="17.375" style="573" bestFit="1" customWidth="1"/>
    <col min="4144" max="4144" width="15.125" style="573" bestFit="1" customWidth="1"/>
    <col min="4145" max="4145" width="20.125" style="573" bestFit="1" customWidth="1"/>
    <col min="4146" max="4146" width="19.625" style="573" bestFit="1" customWidth="1"/>
    <col min="4147" max="4147" width="10.375" style="573" customWidth="1"/>
    <col min="4148" max="4148" width="13.75" style="573" customWidth="1"/>
    <col min="4149" max="4149" width="17.125" style="573" customWidth="1"/>
    <col min="4150" max="4150" width="13.375" style="573" bestFit="1" customWidth="1"/>
    <col min="4151" max="4354" width="8" style="573"/>
    <col min="4355" max="4355" width="5.875" style="573" customWidth="1"/>
    <col min="4356" max="4356" width="4.75" style="573" customWidth="1"/>
    <col min="4357" max="4357" width="24.375" style="573" customWidth="1"/>
    <col min="4358" max="4358" width="18.125" style="573" customWidth="1"/>
    <col min="4359" max="4362" width="0" style="573" hidden="1" customWidth="1"/>
    <col min="4363" max="4363" width="11.125" style="573" customWidth="1"/>
    <col min="4364" max="4364" width="12.875" style="573" customWidth="1"/>
    <col min="4365" max="4366" width="0" style="573" hidden="1" customWidth="1"/>
    <col min="4367" max="4367" width="11.25" style="573" customWidth="1"/>
    <col min="4368" max="4368" width="12.375" style="573" bestFit="1" customWidth="1"/>
    <col min="4369" max="4370" width="11.25" style="573" customWidth="1"/>
    <col min="4371" max="4371" width="12.375" style="573" bestFit="1" customWidth="1"/>
    <col min="4372" max="4372" width="12.375" style="573" customWidth="1"/>
    <col min="4373" max="4373" width="13.125" style="573" customWidth="1"/>
    <col min="4374" max="4374" width="12.125" style="573" customWidth="1"/>
    <col min="4375" max="4375" width="13" style="573" customWidth="1"/>
    <col min="4376" max="4376" width="12.75" style="573" customWidth="1"/>
    <col min="4377" max="4378" width="9.25" style="573" customWidth="1"/>
    <col min="4379" max="4379" width="14.75" style="573" customWidth="1"/>
    <col min="4380" max="4380" width="8" style="573"/>
    <col min="4381" max="4381" width="16.375" style="573" bestFit="1" customWidth="1"/>
    <col min="4382" max="4385" width="16.25" style="573" bestFit="1" customWidth="1"/>
    <col min="4386" max="4386" width="17.75" style="573" bestFit="1" customWidth="1"/>
    <col min="4387" max="4389" width="16.25" style="573" bestFit="1" customWidth="1"/>
    <col min="4390" max="4390" width="15.125" style="573" bestFit="1" customWidth="1"/>
    <col min="4391" max="4391" width="16.25" style="573" bestFit="1" customWidth="1"/>
    <col min="4392" max="4392" width="19.875" style="573" customWidth="1"/>
    <col min="4393" max="4393" width="20.125" style="573" bestFit="1" customWidth="1"/>
    <col min="4394" max="4395" width="15.125" style="573" bestFit="1" customWidth="1"/>
    <col min="4396" max="4396" width="16.25" style="573" bestFit="1" customWidth="1"/>
    <col min="4397" max="4397" width="20.75" style="573" customWidth="1"/>
    <col min="4398" max="4398" width="16.25" style="573" bestFit="1" customWidth="1"/>
    <col min="4399" max="4399" width="17.375" style="573" bestFit="1" customWidth="1"/>
    <col min="4400" max="4400" width="15.125" style="573" bestFit="1" customWidth="1"/>
    <col min="4401" max="4401" width="20.125" style="573" bestFit="1" customWidth="1"/>
    <col min="4402" max="4402" width="19.625" style="573" bestFit="1" customWidth="1"/>
    <col min="4403" max="4403" width="10.375" style="573" customWidth="1"/>
    <col min="4404" max="4404" width="13.75" style="573" customWidth="1"/>
    <col min="4405" max="4405" width="17.125" style="573" customWidth="1"/>
    <col min="4406" max="4406" width="13.375" style="573" bestFit="1" customWidth="1"/>
    <col min="4407" max="4610" width="8" style="573"/>
    <col min="4611" max="4611" width="5.875" style="573" customWidth="1"/>
    <col min="4612" max="4612" width="4.75" style="573" customWidth="1"/>
    <col min="4613" max="4613" width="24.375" style="573" customWidth="1"/>
    <col min="4614" max="4614" width="18.125" style="573" customWidth="1"/>
    <col min="4615" max="4618" width="0" style="573" hidden="1" customWidth="1"/>
    <col min="4619" max="4619" width="11.125" style="573" customWidth="1"/>
    <col min="4620" max="4620" width="12.875" style="573" customWidth="1"/>
    <col min="4621" max="4622" width="0" style="573" hidden="1" customWidth="1"/>
    <col min="4623" max="4623" width="11.25" style="573" customWidth="1"/>
    <col min="4624" max="4624" width="12.375" style="573" bestFit="1" customWidth="1"/>
    <col min="4625" max="4626" width="11.25" style="573" customWidth="1"/>
    <col min="4627" max="4627" width="12.375" style="573" bestFit="1" customWidth="1"/>
    <col min="4628" max="4628" width="12.375" style="573" customWidth="1"/>
    <col min="4629" max="4629" width="13.125" style="573" customWidth="1"/>
    <col min="4630" max="4630" width="12.125" style="573" customWidth="1"/>
    <col min="4631" max="4631" width="13" style="573" customWidth="1"/>
    <col min="4632" max="4632" width="12.75" style="573" customWidth="1"/>
    <col min="4633" max="4634" width="9.25" style="573" customWidth="1"/>
    <col min="4635" max="4635" width="14.75" style="573" customWidth="1"/>
    <col min="4636" max="4636" width="8" style="573"/>
    <col min="4637" max="4637" width="16.375" style="573" bestFit="1" customWidth="1"/>
    <col min="4638" max="4641" width="16.25" style="573" bestFit="1" customWidth="1"/>
    <col min="4642" max="4642" width="17.75" style="573" bestFit="1" customWidth="1"/>
    <col min="4643" max="4645" width="16.25" style="573" bestFit="1" customWidth="1"/>
    <col min="4646" max="4646" width="15.125" style="573" bestFit="1" customWidth="1"/>
    <col min="4647" max="4647" width="16.25" style="573" bestFit="1" customWidth="1"/>
    <col min="4648" max="4648" width="19.875" style="573" customWidth="1"/>
    <col min="4649" max="4649" width="20.125" style="573" bestFit="1" customWidth="1"/>
    <col min="4650" max="4651" width="15.125" style="573" bestFit="1" customWidth="1"/>
    <col min="4652" max="4652" width="16.25" style="573" bestFit="1" customWidth="1"/>
    <col min="4653" max="4653" width="20.75" style="573" customWidth="1"/>
    <col min="4654" max="4654" width="16.25" style="573" bestFit="1" customWidth="1"/>
    <col min="4655" max="4655" width="17.375" style="573" bestFit="1" customWidth="1"/>
    <col min="4656" max="4656" width="15.125" style="573" bestFit="1" customWidth="1"/>
    <col min="4657" max="4657" width="20.125" style="573" bestFit="1" customWidth="1"/>
    <col min="4658" max="4658" width="19.625" style="573" bestFit="1" customWidth="1"/>
    <col min="4659" max="4659" width="10.375" style="573" customWidth="1"/>
    <col min="4660" max="4660" width="13.75" style="573" customWidth="1"/>
    <col min="4661" max="4661" width="17.125" style="573" customWidth="1"/>
    <col min="4662" max="4662" width="13.375" style="573" bestFit="1" customWidth="1"/>
    <col min="4663" max="4866" width="8" style="573"/>
    <col min="4867" max="4867" width="5.875" style="573" customWidth="1"/>
    <col min="4868" max="4868" width="4.75" style="573" customWidth="1"/>
    <col min="4869" max="4869" width="24.375" style="573" customWidth="1"/>
    <col min="4870" max="4870" width="18.125" style="573" customWidth="1"/>
    <col min="4871" max="4874" width="0" style="573" hidden="1" customWidth="1"/>
    <col min="4875" max="4875" width="11.125" style="573" customWidth="1"/>
    <col min="4876" max="4876" width="12.875" style="573" customWidth="1"/>
    <col min="4877" max="4878" width="0" style="573" hidden="1" customWidth="1"/>
    <col min="4879" max="4879" width="11.25" style="573" customWidth="1"/>
    <col min="4880" max="4880" width="12.375" style="573" bestFit="1" customWidth="1"/>
    <col min="4881" max="4882" width="11.25" style="573" customWidth="1"/>
    <col min="4883" max="4883" width="12.375" style="573" bestFit="1" customWidth="1"/>
    <col min="4884" max="4884" width="12.375" style="573" customWidth="1"/>
    <col min="4885" max="4885" width="13.125" style="573" customWidth="1"/>
    <col min="4886" max="4886" width="12.125" style="573" customWidth="1"/>
    <col min="4887" max="4887" width="13" style="573" customWidth="1"/>
    <col min="4888" max="4888" width="12.75" style="573" customWidth="1"/>
    <col min="4889" max="4890" width="9.25" style="573" customWidth="1"/>
    <col min="4891" max="4891" width="14.75" style="573" customWidth="1"/>
    <col min="4892" max="4892" width="8" style="573"/>
    <col min="4893" max="4893" width="16.375" style="573" bestFit="1" customWidth="1"/>
    <col min="4894" max="4897" width="16.25" style="573" bestFit="1" customWidth="1"/>
    <col min="4898" max="4898" width="17.75" style="573" bestFit="1" customWidth="1"/>
    <col min="4899" max="4901" width="16.25" style="573" bestFit="1" customWidth="1"/>
    <col min="4902" max="4902" width="15.125" style="573" bestFit="1" customWidth="1"/>
    <col min="4903" max="4903" width="16.25" style="573" bestFit="1" customWidth="1"/>
    <col min="4904" max="4904" width="19.875" style="573" customWidth="1"/>
    <col min="4905" max="4905" width="20.125" style="573" bestFit="1" customWidth="1"/>
    <col min="4906" max="4907" width="15.125" style="573" bestFit="1" customWidth="1"/>
    <col min="4908" max="4908" width="16.25" style="573" bestFit="1" customWidth="1"/>
    <col min="4909" max="4909" width="20.75" style="573" customWidth="1"/>
    <col min="4910" max="4910" width="16.25" style="573" bestFit="1" customWidth="1"/>
    <col min="4911" max="4911" width="17.375" style="573" bestFit="1" customWidth="1"/>
    <col min="4912" max="4912" width="15.125" style="573" bestFit="1" customWidth="1"/>
    <col min="4913" max="4913" width="20.125" style="573" bestFit="1" customWidth="1"/>
    <col min="4914" max="4914" width="19.625" style="573" bestFit="1" customWidth="1"/>
    <col min="4915" max="4915" width="10.375" style="573" customWidth="1"/>
    <col min="4916" max="4916" width="13.75" style="573" customWidth="1"/>
    <col min="4917" max="4917" width="17.125" style="573" customWidth="1"/>
    <col min="4918" max="4918" width="13.375" style="573" bestFit="1" customWidth="1"/>
    <col min="4919" max="5122" width="8" style="573"/>
    <col min="5123" max="5123" width="5.875" style="573" customWidth="1"/>
    <col min="5124" max="5124" width="4.75" style="573" customWidth="1"/>
    <col min="5125" max="5125" width="24.375" style="573" customWidth="1"/>
    <col min="5126" max="5126" width="18.125" style="573" customWidth="1"/>
    <col min="5127" max="5130" width="0" style="573" hidden="1" customWidth="1"/>
    <col min="5131" max="5131" width="11.125" style="573" customWidth="1"/>
    <col min="5132" max="5132" width="12.875" style="573" customWidth="1"/>
    <col min="5133" max="5134" width="0" style="573" hidden="1" customWidth="1"/>
    <col min="5135" max="5135" width="11.25" style="573" customWidth="1"/>
    <col min="5136" max="5136" width="12.375" style="573" bestFit="1" customWidth="1"/>
    <col min="5137" max="5138" width="11.25" style="573" customWidth="1"/>
    <col min="5139" max="5139" width="12.375" style="573" bestFit="1" customWidth="1"/>
    <col min="5140" max="5140" width="12.375" style="573" customWidth="1"/>
    <col min="5141" max="5141" width="13.125" style="573" customWidth="1"/>
    <col min="5142" max="5142" width="12.125" style="573" customWidth="1"/>
    <col min="5143" max="5143" width="13" style="573" customWidth="1"/>
    <col min="5144" max="5144" width="12.75" style="573" customWidth="1"/>
    <col min="5145" max="5146" width="9.25" style="573" customWidth="1"/>
    <col min="5147" max="5147" width="14.75" style="573" customWidth="1"/>
    <col min="5148" max="5148" width="8" style="573"/>
    <col min="5149" max="5149" width="16.375" style="573" bestFit="1" customWidth="1"/>
    <col min="5150" max="5153" width="16.25" style="573" bestFit="1" customWidth="1"/>
    <col min="5154" max="5154" width="17.75" style="573" bestFit="1" customWidth="1"/>
    <col min="5155" max="5157" width="16.25" style="573" bestFit="1" customWidth="1"/>
    <col min="5158" max="5158" width="15.125" style="573" bestFit="1" customWidth="1"/>
    <col min="5159" max="5159" width="16.25" style="573" bestFit="1" customWidth="1"/>
    <col min="5160" max="5160" width="19.875" style="573" customWidth="1"/>
    <col min="5161" max="5161" width="20.125" style="573" bestFit="1" customWidth="1"/>
    <col min="5162" max="5163" width="15.125" style="573" bestFit="1" customWidth="1"/>
    <col min="5164" max="5164" width="16.25" style="573" bestFit="1" customWidth="1"/>
    <col min="5165" max="5165" width="20.75" style="573" customWidth="1"/>
    <col min="5166" max="5166" width="16.25" style="573" bestFit="1" customWidth="1"/>
    <col min="5167" max="5167" width="17.375" style="573" bestFit="1" customWidth="1"/>
    <col min="5168" max="5168" width="15.125" style="573" bestFit="1" customWidth="1"/>
    <col min="5169" max="5169" width="20.125" style="573" bestFit="1" customWidth="1"/>
    <col min="5170" max="5170" width="19.625" style="573" bestFit="1" customWidth="1"/>
    <col min="5171" max="5171" width="10.375" style="573" customWidth="1"/>
    <col min="5172" max="5172" width="13.75" style="573" customWidth="1"/>
    <col min="5173" max="5173" width="17.125" style="573" customWidth="1"/>
    <col min="5174" max="5174" width="13.375" style="573" bestFit="1" customWidth="1"/>
    <col min="5175" max="5378" width="8" style="573"/>
    <col min="5379" max="5379" width="5.875" style="573" customWidth="1"/>
    <col min="5380" max="5380" width="4.75" style="573" customWidth="1"/>
    <col min="5381" max="5381" width="24.375" style="573" customWidth="1"/>
    <col min="5382" max="5382" width="18.125" style="573" customWidth="1"/>
    <col min="5383" max="5386" width="0" style="573" hidden="1" customWidth="1"/>
    <col min="5387" max="5387" width="11.125" style="573" customWidth="1"/>
    <col min="5388" max="5388" width="12.875" style="573" customWidth="1"/>
    <col min="5389" max="5390" width="0" style="573" hidden="1" customWidth="1"/>
    <col min="5391" max="5391" width="11.25" style="573" customWidth="1"/>
    <col min="5392" max="5392" width="12.375" style="573" bestFit="1" customWidth="1"/>
    <col min="5393" max="5394" width="11.25" style="573" customWidth="1"/>
    <col min="5395" max="5395" width="12.375" style="573" bestFit="1" customWidth="1"/>
    <col min="5396" max="5396" width="12.375" style="573" customWidth="1"/>
    <col min="5397" max="5397" width="13.125" style="573" customWidth="1"/>
    <col min="5398" max="5398" width="12.125" style="573" customWidth="1"/>
    <col min="5399" max="5399" width="13" style="573" customWidth="1"/>
    <col min="5400" max="5400" width="12.75" style="573" customWidth="1"/>
    <col min="5401" max="5402" width="9.25" style="573" customWidth="1"/>
    <col min="5403" max="5403" width="14.75" style="573" customWidth="1"/>
    <col min="5404" max="5404" width="8" style="573"/>
    <col min="5405" max="5405" width="16.375" style="573" bestFit="1" customWidth="1"/>
    <col min="5406" max="5409" width="16.25" style="573" bestFit="1" customWidth="1"/>
    <col min="5410" max="5410" width="17.75" style="573" bestFit="1" customWidth="1"/>
    <col min="5411" max="5413" width="16.25" style="573" bestFit="1" customWidth="1"/>
    <col min="5414" max="5414" width="15.125" style="573" bestFit="1" customWidth="1"/>
    <col min="5415" max="5415" width="16.25" style="573" bestFit="1" customWidth="1"/>
    <col min="5416" max="5416" width="19.875" style="573" customWidth="1"/>
    <col min="5417" max="5417" width="20.125" style="573" bestFit="1" customWidth="1"/>
    <col min="5418" max="5419" width="15.125" style="573" bestFit="1" customWidth="1"/>
    <col min="5420" max="5420" width="16.25" style="573" bestFit="1" customWidth="1"/>
    <col min="5421" max="5421" width="20.75" style="573" customWidth="1"/>
    <col min="5422" max="5422" width="16.25" style="573" bestFit="1" customWidth="1"/>
    <col min="5423" max="5423" width="17.375" style="573" bestFit="1" customWidth="1"/>
    <col min="5424" max="5424" width="15.125" style="573" bestFit="1" customWidth="1"/>
    <col min="5425" max="5425" width="20.125" style="573" bestFit="1" customWidth="1"/>
    <col min="5426" max="5426" width="19.625" style="573" bestFit="1" customWidth="1"/>
    <col min="5427" max="5427" width="10.375" style="573" customWidth="1"/>
    <col min="5428" max="5428" width="13.75" style="573" customWidth="1"/>
    <col min="5429" max="5429" width="17.125" style="573" customWidth="1"/>
    <col min="5430" max="5430" width="13.375" style="573" bestFit="1" customWidth="1"/>
    <col min="5431" max="5634" width="8" style="573"/>
    <col min="5635" max="5635" width="5.875" style="573" customWidth="1"/>
    <col min="5636" max="5636" width="4.75" style="573" customWidth="1"/>
    <col min="5637" max="5637" width="24.375" style="573" customWidth="1"/>
    <col min="5638" max="5638" width="18.125" style="573" customWidth="1"/>
    <col min="5639" max="5642" width="0" style="573" hidden="1" customWidth="1"/>
    <col min="5643" max="5643" width="11.125" style="573" customWidth="1"/>
    <col min="5644" max="5644" width="12.875" style="573" customWidth="1"/>
    <col min="5645" max="5646" width="0" style="573" hidden="1" customWidth="1"/>
    <col min="5647" max="5647" width="11.25" style="573" customWidth="1"/>
    <col min="5648" max="5648" width="12.375" style="573" bestFit="1" customWidth="1"/>
    <col min="5649" max="5650" width="11.25" style="573" customWidth="1"/>
    <col min="5651" max="5651" width="12.375" style="573" bestFit="1" customWidth="1"/>
    <col min="5652" max="5652" width="12.375" style="573" customWidth="1"/>
    <col min="5653" max="5653" width="13.125" style="573" customWidth="1"/>
    <col min="5654" max="5654" width="12.125" style="573" customWidth="1"/>
    <col min="5655" max="5655" width="13" style="573" customWidth="1"/>
    <col min="5656" max="5656" width="12.75" style="573" customWidth="1"/>
    <col min="5657" max="5658" width="9.25" style="573" customWidth="1"/>
    <col min="5659" max="5659" width="14.75" style="573" customWidth="1"/>
    <col min="5660" max="5660" width="8" style="573"/>
    <col min="5661" max="5661" width="16.375" style="573" bestFit="1" customWidth="1"/>
    <col min="5662" max="5665" width="16.25" style="573" bestFit="1" customWidth="1"/>
    <col min="5666" max="5666" width="17.75" style="573" bestFit="1" customWidth="1"/>
    <col min="5667" max="5669" width="16.25" style="573" bestFit="1" customWidth="1"/>
    <col min="5670" max="5670" width="15.125" style="573" bestFit="1" customWidth="1"/>
    <col min="5671" max="5671" width="16.25" style="573" bestFit="1" customWidth="1"/>
    <col min="5672" max="5672" width="19.875" style="573" customWidth="1"/>
    <col min="5673" max="5673" width="20.125" style="573" bestFit="1" customWidth="1"/>
    <col min="5674" max="5675" width="15.125" style="573" bestFit="1" customWidth="1"/>
    <col min="5676" max="5676" width="16.25" style="573" bestFit="1" customWidth="1"/>
    <col min="5677" max="5677" width="20.75" style="573" customWidth="1"/>
    <col min="5678" max="5678" width="16.25" style="573" bestFit="1" customWidth="1"/>
    <col min="5679" max="5679" width="17.375" style="573" bestFit="1" customWidth="1"/>
    <col min="5680" max="5680" width="15.125" style="573" bestFit="1" customWidth="1"/>
    <col min="5681" max="5681" width="20.125" style="573" bestFit="1" customWidth="1"/>
    <col min="5682" max="5682" width="19.625" style="573" bestFit="1" customWidth="1"/>
    <col min="5683" max="5683" width="10.375" style="573" customWidth="1"/>
    <col min="5684" max="5684" width="13.75" style="573" customWidth="1"/>
    <col min="5685" max="5685" width="17.125" style="573" customWidth="1"/>
    <col min="5686" max="5686" width="13.375" style="573" bestFit="1" customWidth="1"/>
    <col min="5687" max="5890" width="8" style="573"/>
    <col min="5891" max="5891" width="5.875" style="573" customWidth="1"/>
    <col min="5892" max="5892" width="4.75" style="573" customWidth="1"/>
    <col min="5893" max="5893" width="24.375" style="573" customWidth="1"/>
    <col min="5894" max="5894" width="18.125" style="573" customWidth="1"/>
    <col min="5895" max="5898" width="0" style="573" hidden="1" customWidth="1"/>
    <col min="5899" max="5899" width="11.125" style="573" customWidth="1"/>
    <col min="5900" max="5900" width="12.875" style="573" customWidth="1"/>
    <col min="5901" max="5902" width="0" style="573" hidden="1" customWidth="1"/>
    <col min="5903" max="5903" width="11.25" style="573" customWidth="1"/>
    <col min="5904" max="5904" width="12.375" style="573" bestFit="1" customWidth="1"/>
    <col min="5905" max="5906" width="11.25" style="573" customWidth="1"/>
    <col min="5907" max="5907" width="12.375" style="573" bestFit="1" customWidth="1"/>
    <col min="5908" max="5908" width="12.375" style="573" customWidth="1"/>
    <col min="5909" max="5909" width="13.125" style="573" customWidth="1"/>
    <col min="5910" max="5910" width="12.125" style="573" customWidth="1"/>
    <col min="5911" max="5911" width="13" style="573" customWidth="1"/>
    <col min="5912" max="5912" width="12.75" style="573" customWidth="1"/>
    <col min="5913" max="5914" width="9.25" style="573" customWidth="1"/>
    <col min="5915" max="5915" width="14.75" style="573" customWidth="1"/>
    <col min="5916" max="5916" width="8" style="573"/>
    <col min="5917" max="5917" width="16.375" style="573" bestFit="1" customWidth="1"/>
    <col min="5918" max="5921" width="16.25" style="573" bestFit="1" customWidth="1"/>
    <col min="5922" max="5922" width="17.75" style="573" bestFit="1" customWidth="1"/>
    <col min="5923" max="5925" width="16.25" style="573" bestFit="1" customWidth="1"/>
    <col min="5926" max="5926" width="15.125" style="573" bestFit="1" customWidth="1"/>
    <col min="5927" max="5927" width="16.25" style="573" bestFit="1" customWidth="1"/>
    <col min="5928" max="5928" width="19.875" style="573" customWidth="1"/>
    <col min="5929" max="5929" width="20.125" style="573" bestFit="1" customWidth="1"/>
    <col min="5930" max="5931" width="15.125" style="573" bestFit="1" customWidth="1"/>
    <col min="5932" max="5932" width="16.25" style="573" bestFit="1" customWidth="1"/>
    <col min="5933" max="5933" width="20.75" style="573" customWidth="1"/>
    <col min="5934" max="5934" width="16.25" style="573" bestFit="1" customWidth="1"/>
    <col min="5935" max="5935" width="17.375" style="573" bestFit="1" customWidth="1"/>
    <col min="5936" max="5936" width="15.125" style="573" bestFit="1" customWidth="1"/>
    <col min="5937" max="5937" width="20.125" style="573" bestFit="1" customWidth="1"/>
    <col min="5938" max="5938" width="19.625" style="573" bestFit="1" customWidth="1"/>
    <col min="5939" max="5939" width="10.375" style="573" customWidth="1"/>
    <col min="5940" max="5940" width="13.75" style="573" customWidth="1"/>
    <col min="5941" max="5941" width="17.125" style="573" customWidth="1"/>
    <col min="5942" max="5942" width="13.375" style="573" bestFit="1" customWidth="1"/>
    <col min="5943" max="6146" width="8" style="573"/>
    <col min="6147" max="6147" width="5.875" style="573" customWidth="1"/>
    <col min="6148" max="6148" width="4.75" style="573" customWidth="1"/>
    <col min="6149" max="6149" width="24.375" style="573" customWidth="1"/>
    <col min="6150" max="6150" width="18.125" style="573" customWidth="1"/>
    <col min="6151" max="6154" width="0" style="573" hidden="1" customWidth="1"/>
    <col min="6155" max="6155" width="11.125" style="573" customWidth="1"/>
    <col min="6156" max="6156" width="12.875" style="573" customWidth="1"/>
    <col min="6157" max="6158" width="0" style="573" hidden="1" customWidth="1"/>
    <col min="6159" max="6159" width="11.25" style="573" customWidth="1"/>
    <col min="6160" max="6160" width="12.375" style="573" bestFit="1" customWidth="1"/>
    <col min="6161" max="6162" width="11.25" style="573" customWidth="1"/>
    <col min="6163" max="6163" width="12.375" style="573" bestFit="1" customWidth="1"/>
    <col min="6164" max="6164" width="12.375" style="573" customWidth="1"/>
    <col min="6165" max="6165" width="13.125" style="573" customWidth="1"/>
    <col min="6166" max="6166" width="12.125" style="573" customWidth="1"/>
    <col min="6167" max="6167" width="13" style="573" customWidth="1"/>
    <col min="6168" max="6168" width="12.75" style="573" customWidth="1"/>
    <col min="6169" max="6170" width="9.25" style="573" customWidth="1"/>
    <col min="6171" max="6171" width="14.75" style="573" customWidth="1"/>
    <col min="6172" max="6172" width="8" style="573"/>
    <col min="6173" max="6173" width="16.375" style="573" bestFit="1" customWidth="1"/>
    <col min="6174" max="6177" width="16.25" style="573" bestFit="1" customWidth="1"/>
    <col min="6178" max="6178" width="17.75" style="573" bestFit="1" customWidth="1"/>
    <col min="6179" max="6181" width="16.25" style="573" bestFit="1" customWidth="1"/>
    <col min="6182" max="6182" width="15.125" style="573" bestFit="1" customWidth="1"/>
    <col min="6183" max="6183" width="16.25" style="573" bestFit="1" customWidth="1"/>
    <col min="6184" max="6184" width="19.875" style="573" customWidth="1"/>
    <col min="6185" max="6185" width="20.125" style="573" bestFit="1" customWidth="1"/>
    <col min="6186" max="6187" width="15.125" style="573" bestFit="1" customWidth="1"/>
    <col min="6188" max="6188" width="16.25" style="573" bestFit="1" customWidth="1"/>
    <col min="6189" max="6189" width="20.75" style="573" customWidth="1"/>
    <col min="6190" max="6190" width="16.25" style="573" bestFit="1" customWidth="1"/>
    <col min="6191" max="6191" width="17.375" style="573" bestFit="1" customWidth="1"/>
    <col min="6192" max="6192" width="15.125" style="573" bestFit="1" customWidth="1"/>
    <col min="6193" max="6193" width="20.125" style="573" bestFit="1" customWidth="1"/>
    <col min="6194" max="6194" width="19.625" style="573" bestFit="1" customWidth="1"/>
    <col min="6195" max="6195" width="10.375" style="573" customWidth="1"/>
    <col min="6196" max="6196" width="13.75" style="573" customWidth="1"/>
    <col min="6197" max="6197" width="17.125" style="573" customWidth="1"/>
    <col min="6198" max="6198" width="13.375" style="573" bestFit="1" customWidth="1"/>
    <col min="6199" max="6402" width="8" style="573"/>
    <col min="6403" max="6403" width="5.875" style="573" customWidth="1"/>
    <col min="6404" max="6404" width="4.75" style="573" customWidth="1"/>
    <col min="6405" max="6405" width="24.375" style="573" customWidth="1"/>
    <col min="6406" max="6406" width="18.125" style="573" customWidth="1"/>
    <col min="6407" max="6410" width="0" style="573" hidden="1" customWidth="1"/>
    <col min="6411" max="6411" width="11.125" style="573" customWidth="1"/>
    <col min="6412" max="6412" width="12.875" style="573" customWidth="1"/>
    <col min="6413" max="6414" width="0" style="573" hidden="1" customWidth="1"/>
    <col min="6415" max="6415" width="11.25" style="573" customWidth="1"/>
    <col min="6416" max="6416" width="12.375" style="573" bestFit="1" customWidth="1"/>
    <col min="6417" max="6418" width="11.25" style="573" customWidth="1"/>
    <col min="6419" max="6419" width="12.375" style="573" bestFit="1" customWidth="1"/>
    <col min="6420" max="6420" width="12.375" style="573" customWidth="1"/>
    <col min="6421" max="6421" width="13.125" style="573" customWidth="1"/>
    <col min="6422" max="6422" width="12.125" style="573" customWidth="1"/>
    <col min="6423" max="6423" width="13" style="573" customWidth="1"/>
    <col min="6424" max="6424" width="12.75" style="573" customWidth="1"/>
    <col min="6425" max="6426" width="9.25" style="573" customWidth="1"/>
    <col min="6427" max="6427" width="14.75" style="573" customWidth="1"/>
    <col min="6428" max="6428" width="8" style="573"/>
    <col min="6429" max="6429" width="16.375" style="573" bestFit="1" customWidth="1"/>
    <col min="6430" max="6433" width="16.25" style="573" bestFit="1" customWidth="1"/>
    <col min="6434" max="6434" width="17.75" style="573" bestFit="1" customWidth="1"/>
    <col min="6435" max="6437" width="16.25" style="573" bestFit="1" customWidth="1"/>
    <col min="6438" max="6438" width="15.125" style="573" bestFit="1" customWidth="1"/>
    <col min="6439" max="6439" width="16.25" style="573" bestFit="1" customWidth="1"/>
    <col min="6440" max="6440" width="19.875" style="573" customWidth="1"/>
    <col min="6441" max="6441" width="20.125" style="573" bestFit="1" customWidth="1"/>
    <col min="6442" max="6443" width="15.125" style="573" bestFit="1" customWidth="1"/>
    <col min="6444" max="6444" width="16.25" style="573" bestFit="1" customWidth="1"/>
    <col min="6445" max="6445" width="20.75" style="573" customWidth="1"/>
    <col min="6446" max="6446" width="16.25" style="573" bestFit="1" customWidth="1"/>
    <col min="6447" max="6447" width="17.375" style="573" bestFit="1" customWidth="1"/>
    <col min="6448" max="6448" width="15.125" style="573" bestFit="1" customWidth="1"/>
    <col min="6449" max="6449" width="20.125" style="573" bestFit="1" customWidth="1"/>
    <col min="6450" max="6450" width="19.625" style="573" bestFit="1" customWidth="1"/>
    <col min="6451" max="6451" width="10.375" style="573" customWidth="1"/>
    <col min="6452" max="6452" width="13.75" style="573" customWidth="1"/>
    <col min="6453" max="6453" width="17.125" style="573" customWidth="1"/>
    <col min="6454" max="6454" width="13.375" style="573" bestFit="1" customWidth="1"/>
    <col min="6455" max="6658" width="8" style="573"/>
    <col min="6659" max="6659" width="5.875" style="573" customWidth="1"/>
    <col min="6660" max="6660" width="4.75" style="573" customWidth="1"/>
    <col min="6661" max="6661" width="24.375" style="573" customWidth="1"/>
    <col min="6662" max="6662" width="18.125" style="573" customWidth="1"/>
    <col min="6663" max="6666" width="0" style="573" hidden="1" customWidth="1"/>
    <col min="6667" max="6667" width="11.125" style="573" customWidth="1"/>
    <col min="6668" max="6668" width="12.875" style="573" customWidth="1"/>
    <col min="6669" max="6670" width="0" style="573" hidden="1" customWidth="1"/>
    <col min="6671" max="6671" width="11.25" style="573" customWidth="1"/>
    <col min="6672" max="6672" width="12.375" style="573" bestFit="1" customWidth="1"/>
    <col min="6673" max="6674" width="11.25" style="573" customWidth="1"/>
    <col min="6675" max="6675" width="12.375" style="573" bestFit="1" customWidth="1"/>
    <col min="6676" max="6676" width="12.375" style="573" customWidth="1"/>
    <col min="6677" max="6677" width="13.125" style="573" customWidth="1"/>
    <col min="6678" max="6678" width="12.125" style="573" customWidth="1"/>
    <col min="6679" max="6679" width="13" style="573" customWidth="1"/>
    <col min="6680" max="6680" width="12.75" style="573" customWidth="1"/>
    <col min="6681" max="6682" width="9.25" style="573" customWidth="1"/>
    <col min="6683" max="6683" width="14.75" style="573" customWidth="1"/>
    <col min="6684" max="6684" width="8" style="573"/>
    <col min="6685" max="6685" width="16.375" style="573" bestFit="1" customWidth="1"/>
    <col min="6686" max="6689" width="16.25" style="573" bestFit="1" customWidth="1"/>
    <col min="6690" max="6690" width="17.75" style="573" bestFit="1" customWidth="1"/>
    <col min="6691" max="6693" width="16.25" style="573" bestFit="1" customWidth="1"/>
    <col min="6694" max="6694" width="15.125" style="573" bestFit="1" customWidth="1"/>
    <col min="6695" max="6695" width="16.25" style="573" bestFit="1" customWidth="1"/>
    <col min="6696" max="6696" width="19.875" style="573" customWidth="1"/>
    <col min="6697" max="6697" width="20.125" style="573" bestFit="1" customWidth="1"/>
    <col min="6698" max="6699" width="15.125" style="573" bestFit="1" customWidth="1"/>
    <col min="6700" max="6700" width="16.25" style="573" bestFit="1" customWidth="1"/>
    <col min="6701" max="6701" width="20.75" style="573" customWidth="1"/>
    <col min="6702" max="6702" width="16.25" style="573" bestFit="1" customWidth="1"/>
    <col min="6703" max="6703" width="17.375" style="573" bestFit="1" customWidth="1"/>
    <col min="6704" max="6704" width="15.125" style="573" bestFit="1" customWidth="1"/>
    <col min="6705" max="6705" width="20.125" style="573" bestFit="1" customWidth="1"/>
    <col min="6706" max="6706" width="19.625" style="573" bestFit="1" customWidth="1"/>
    <col min="6707" max="6707" width="10.375" style="573" customWidth="1"/>
    <col min="6708" max="6708" width="13.75" style="573" customWidth="1"/>
    <col min="6709" max="6709" width="17.125" style="573" customWidth="1"/>
    <col min="6710" max="6710" width="13.375" style="573" bestFit="1" customWidth="1"/>
    <col min="6711" max="6914" width="8" style="573"/>
    <col min="6915" max="6915" width="5.875" style="573" customWidth="1"/>
    <col min="6916" max="6916" width="4.75" style="573" customWidth="1"/>
    <col min="6917" max="6917" width="24.375" style="573" customWidth="1"/>
    <col min="6918" max="6918" width="18.125" style="573" customWidth="1"/>
    <col min="6919" max="6922" width="0" style="573" hidden="1" customWidth="1"/>
    <col min="6923" max="6923" width="11.125" style="573" customWidth="1"/>
    <col min="6924" max="6924" width="12.875" style="573" customWidth="1"/>
    <col min="6925" max="6926" width="0" style="573" hidden="1" customWidth="1"/>
    <col min="6927" max="6927" width="11.25" style="573" customWidth="1"/>
    <col min="6928" max="6928" width="12.375" style="573" bestFit="1" customWidth="1"/>
    <col min="6929" max="6930" width="11.25" style="573" customWidth="1"/>
    <col min="6931" max="6931" width="12.375" style="573" bestFit="1" customWidth="1"/>
    <col min="6932" max="6932" width="12.375" style="573" customWidth="1"/>
    <col min="6933" max="6933" width="13.125" style="573" customWidth="1"/>
    <col min="6934" max="6934" width="12.125" style="573" customWidth="1"/>
    <col min="6935" max="6935" width="13" style="573" customWidth="1"/>
    <col min="6936" max="6936" width="12.75" style="573" customWidth="1"/>
    <col min="6937" max="6938" width="9.25" style="573" customWidth="1"/>
    <col min="6939" max="6939" width="14.75" style="573" customWidth="1"/>
    <col min="6940" max="6940" width="8" style="573"/>
    <col min="6941" max="6941" width="16.375" style="573" bestFit="1" customWidth="1"/>
    <col min="6942" max="6945" width="16.25" style="573" bestFit="1" customWidth="1"/>
    <col min="6946" max="6946" width="17.75" style="573" bestFit="1" customWidth="1"/>
    <col min="6947" max="6949" width="16.25" style="573" bestFit="1" customWidth="1"/>
    <col min="6950" max="6950" width="15.125" style="573" bestFit="1" customWidth="1"/>
    <col min="6951" max="6951" width="16.25" style="573" bestFit="1" customWidth="1"/>
    <col min="6952" max="6952" width="19.875" style="573" customWidth="1"/>
    <col min="6953" max="6953" width="20.125" style="573" bestFit="1" customWidth="1"/>
    <col min="6954" max="6955" width="15.125" style="573" bestFit="1" customWidth="1"/>
    <col min="6956" max="6956" width="16.25" style="573" bestFit="1" customWidth="1"/>
    <col min="6957" max="6957" width="20.75" style="573" customWidth="1"/>
    <col min="6958" max="6958" width="16.25" style="573" bestFit="1" customWidth="1"/>
    <col min="6959" max="6959" width="17.375" style="573" bestFit="1" customWidth="1"/>
    <col min="6960" max="6960" width="15.125" style="573" bestFit="1" customWidth="1"/>
    <col min="6961" max="6961" width="20.125" style="573" bestFit="1" customWidth="1"/>
    <col min="6962" max="6962" width="19.625" style="573" bestFit="1" customWidth="1"/>
    <col min="6963" max="6963" width="10.375" style="573" customWidth="1"/>
    <col min="6964" max="6964" width="13.75" style="573" customWidth="1"/>
    <col min="6965" max="6965" width="17.125" style="573" customWidth="1"/>
    <col min="6966" max="6966" width="13.375" style="573" bestFit="1" customWidth="1"/>
    <col min="6967" max="7170" width="8" style="573"/>
    <col min="7171" max="7171" width="5.875" style="573" customWidth="1"/>
    <col min="7172" max="7172" width="4.75" style="573" customWidth="1"/>
    <col min="7173" max="7173" width="24.375" style="573" customWidth="1"/>
    <col min="7174" max="7174" width="18.125" style="573" customWidth="1"/>
    <col min="7175" max="7178" width="0" style="573" hidden="1" customWidth="1"/>
    <col min="7179" max="7179" width="11.125" style="573" customWidth="1"/>
    <col min="7180" max="7180" width="12.875" style="573" customWidth="1"/>
    <col min="7181" max="7182" width="0" style="573" hidden="1" customWidth="1"/>
    <col min="7183" max="7183" width="11.25" style="573" customWidth="1"/>
    <col min="7184" max="7184" width="12.375" style="573" bestFit="1" customWidth="1"/>
    <col min="7185" max="7186" width="11.25" style="573" customWidth="1"/>
    <col min="7187" max="7187" width="12.375" style="573" bestFit="1" customWidth="1"/>
    <col min="7188" max="7188" width="12.375" style="573" customWidth="1"/>
    <col min="7189" max="7189" width="13.125" style="573" customWidth="1"/>
    <col min="7190" max="7190" width="12.125" style="573" customWidth="1"/>
    <col min="7191" max="7191" width="13" style="573" customWidth="1"/>
    <col min="7192" max="7192" width="12.75" style="573" customWidth="1"/>
    <col min="7193" max="7194" width="9.25" style="573" customWidth="1"/>
    <col min="7195" max="7195" width="14.75" style="573" customWidth="1"/>
    <col min="7196" max="7196" width="8" style="573"/>
    <col min="7197" max="7197" width="16.375" style="573" bestFit="1" customWidth="1"/>
    <col min="7198" max="7201" width="16.25" style="573" bestFit="1" customWidth="1"/>
    <col min="7202" max="7202" width="17.75" style="573" bestFit="1" customWidth="1"/>
    <col min="7203" max="7205" width="16.25" style="573" bestFit="1" customWidth="1"/>
    <col min="7206" max="7206" width="15.125" style="573" bestFit="1" customWidth="1"/>
    <col min="7207" max="7207" width="16.25" style="573" bestFit="1" customWidth="1"/>
    <col min="7208" max="7208" width="19.875" style="573" customWidth="1"/>
    <col min="7209" max="7209" width="20.125" style="573" bestFit="1" customWidth="1"/>
    <col min="7210" max="7211" width="15.125" style="573" bestFit="1" customWidth="1"/>
    <col min="7212" max="7212" width="16.25" style="573" bestFit="1" customWidth="1"/>
    <col min="7213" max="7213" width="20.75" style="573" customWidth="1"/>
    <col min="7214" max="7214" width="16.25" style="573" bestFit="1" customWidth="1"/>
    <col min="7215" max="7215" width="17.375" style="573" bestFit="1" customWidth="1"/>
    <col min="7216" max="7216" width="15.125" style="573" bestFit="1" customWidth="1"/>
    <col min="7217" max="7217" width="20.125" style="573" bestFit="1" customWidth="1"/>
    <col min="7218" max="7218" width="19.625" style="573" bestFit="1" customWidth="1"/>
    <col min="7219" max="7219" width="10.375" style="573" customWidth="1"/>
    <col min="7220" max="7220" width="13.75" style="573" customWidth="1"/>
    <col min="7221" max="7221" width="17.125" style="573" customWidth="1"/>
    <col min="7222" max="7222" width="13.375" style="573" bestFit="1" customWidth="1"/>
    <col min="7223" max="7426" width="8" style="573"/>
    <col min="7427" max="7427" width="5.875" style="573" customWidth="1"/>
    <col min="7428" max="7428" width="4.75" style="573" customWidth="1"/>
    <col min="7429" max="7429" width="24.375" style="573" customWidth="1"/>
    <col min="7430" max="7430" width="18.125" style="573" customWidth="1"/>
    <col min="7431" max="7434" width="0" style="573" hidden="1" customWidth="1"/>
    <col min="7435" max="7435" width="11.125" style="573" customWidth="1"/>
    <col min="7436" max="7436" width="12.875" style="573" customWidth="1"/>
    <col min="7437" max="7438" width="0" style="573" hidden="1" customWidth="1"/>
    <col min="7439" max="7439" width="11.25" style="573" customWidth="1"/>
    <col min="7440" max="7440" width="12.375" style="573" bestFit="1" customWidth="1"/>
    <col min="7441" max="7442" width="11.25" style="573" customWidth="1"/>
    <col min="7443" max="7443" width="12.375" style="573" bestFit="1" customWidth="1"/>
    <col min="7444" max="7444" width="12.375" style="573" customWidth="1"/>
    <col min="7445" max="7445" width="13.125" style="573" customWidth="1"/>
    <col min="7446" max="7446" width="12.125" style="573" customWidth="1"/>
    <col min="7447" max="7447" width="13" style="573" customWidth="1"/>
    <col min="7448" max="7448" width="12.75" style="573" customWidth="1"/>
    <col min="7449" max="7450" width="9.25" style="573" customWidth="1"/>
    <col min="7451" max="7451" width="14.75" style="573" customWidth="1"/>
    <col min="7452" max="7452" width="8" style="573"/>
    <col min="7453" max="7453" width="16.375" style="573" bestFit="1" customWidth="1"/>
    <col min="7454" max="7457" width="16.25" style="573" bestFit="1" customWidth="1"/>
    <col min="7458" max="7458" width="17.75" style="573" bestFit="1" customWidth="1"/>
    <col min="7459" max="7461" width="16.25" style="573" bestFit="1" customWidth="1"/>
    <col min="7462" max="7462" width="15.125" style="573" bestFit="1" customWidth="1"/>
    <col min="7463" max="7463" width="16.25" style="573" bestFit="1" customWidth="1"/>
    <col min="7464" max="7464" width="19.875" style="573" customWidth="1"/>
    <col min="7465" max="7465" width="20.125" style="573" bestFit="1" customWidth="1"/>
    <col min="7466" max="7467" width="15.125" style="573" bestFit="1" customWidth="1"/>
    <col min="7468" max="7468" width="16.25" style="573" bestFit="1" customWidth="1"/>
    <col min="7469" max="7469" width="20.75" style="573" customWidth="1"/>
    <col min="7470" max="7470" width="16.25" style="573" bestFit="1" customWidth="1"/>
    <col min="7471" max="7471" width="17.375" style="573" bestFit="1" customWidth="1"/>
    <col min="7472" max="7472" width="15.125" style="573" bestFit="1" customWidth="1"/>
    <col min="7473" max="7473" width="20.125" style="573" bestFit="1" customWidth="1"/>
    <col min="7474" max="7474" width="19.625" style="573" bestFit="1" customWidth="1"/>
    <col min="7475" max="7475" width="10.375" style="573" customWidth="1"/>
    <col min="7476" max="7476" width="13.75" style="573" customWidth="1"/>
    <col min="7477" max="7477" width="17.125" style="573" customWidth="1"/>
    <col min="7478" max="7478" width="13.375" style="573" bestFit="1" customWidth="1"/>
    <col min="7479" max="7682" width="8" style="573"/>
    <col min="7683" max="7683" width="5.875" style="573" customWidth="1"/>
    <col min="7684" max="7684" width="4.75" style="573" customWidth="1"/>
    <col min="7685" max="7685" width="24.375" style="573" customWidth="1"/>
    <col min="7686" max="7686" width="18.125" style="573" customWidth="1"/>
    <col min="7687" max="7690" width="0" style="573" hidden="1" customWidth="1"/>
    <col min="7691" max="7691" width="11.125" style="573" customWidth="1"/>
    <col min="7692" max="7692" width="12.875" style="573" customWidth="1"/>
    <col min="7693" max="7694" width="0" style="573" hidden="1" customWidth="1"/>
    <col min="7695" max="7695" width="11.25" style="573" customWidth="1"/>
    <col min="7696" max="7696" width="12.375" style="573" bestFit="1" customWidth="1"/>
    <col min="7697" max="7698" width="11.25" style="573" customWidth="1"/>
    <col min="7699" max="7699" width="12.375" style="573" bestFit="1" customWidth="1"/>
    <col min="7700" max="7700" width="12.375" style="573" customWidth="1"/>
    <col min="7701" max="7701" width="13.125" style="573" customWidth="1"/>
    <col min="7702" max="7702" width="12.125" style="573" customWidth="1"/>
    <col min="7703" max="7703" width="13" style="573" customWidth="1"/>
    <col min="7704" max="7704" width="12.75" style="573" customWidth="1"/>
    <col min="7705" max="7706" width="9.25" style="573" customWidth="1"/>
    <col min="7707" max="7707" width="14.75" style="573" customWidth="1"/>
    <col min="7708" max="7708" width="8" style="573"/>
    <col min="7709" max="7709" width="16.375" style="573" bestFit="1" customWidth="1"/>
    <col min="7710" max="7713" width="16.25" style="573" bestFit="1" customWidth="1"/>
    <col min="7714" max="7714" width="17.75" style="573" bestFit="1" customWidth="1"/>
    <col min="7715" max="7717" width="16.25" style="573" bestFit="1" customWidth="1"/>
    <col min="7718" max="7718" width="15.125" style="573" bestFit="1" customWidth="1"/>
    <col min="7719" max="7719" width="16.25" style="573" bestFit="1" customWidth="1"/>
    <col min="7720" max="7720" width="19.875" style="573" customWidth="1"/>
    <col min="7721" max="7721" width="20.125" style="573" bestFit="1" customWidth="1"/>
    <col min="7722" max="7723" width="15.125" style="573" bestFit="1" customWidth="1"/>
    <col min="7724" max="7724" width="16.25" style="573" bestFit="1" customWidth="1"/>
    <col min="7725" max="7725" width="20.75" style="573" customWidth="1"/>
    <col min="7726" max="7726" width="16.25" style="573" bestFit="1" customWidth="1"/>
    <col min="7727" max="7727" width="17.375" style="573" bestFit="1" customWidth="1"/>
    <col min="7728" max="7728" width="15.125" style="573" bestFit="1" customWidth="1"/>
    <col min="7729" max="7729" width="20.125" style="573" bestFit="1" customWidth="1"/>
    <col min="7730" max="7730" width="19.625" style="573" bestFit="1" customWidth="1"/>
    <col min="7731" max="7731" width="10.375" style="573" customWidth="1"/>
    <col min="7732" max="7732" width="13.75" style="573" customWidth="1"/>
    <col min="7733" max="7733" width="17.125" style="573" customWidth="1"/>
    <col min="7734" max="7734" width="13.375" style="573" bestFit="1" customWidth="1"/>
    <col min="7735" max="7938" width="8" style="573"/>
    <col min="7939" max="7939" width="5.875" style="573" customWidth="1"/>
    <col min="7940" max="7940" width="4.75" style="573" customWidth="1"/>
    <col min="7941" max="7941" width="24.375" style="573" customWidth="1"/>
    <col min="7942" max="7942" width="18.125" style="573" customWidth="1"/>
    <col min="7943" max="7946" width="0" style="573" hidden="1" customWidth="1"/>
    <col min="7947" max="7947" width="11.125" style="573" customWidth="1"/>
    <col min="7948" max="7948" width="12.875" style="573" customWidth="1"/>
    <col min="7949" max="7950" width="0" style="573" hidden="1" customWidth="1"/>
    <col min="7951" max="7951" width="11.25" style="573" customWidth="1"/>
    <col min="7952" max="7952" width="12.375" style="573" bestFit="1" customWidth="1"/>
    <col min="7953" max="7954" width="11.25" style="573" customWidth="1"/>
    <col min="7955" max="7955" width="12.375" style="573" bestFit="1" customWidth="1"/>
    <col min="7956" max="7956" width="12.375" style="573" customWidth="1"/>
    <col min="7957" max="7957" width="13.125" style="573" customWidth="1"/>
    <col min="7958" max="7958" width="12.125" style="573" customWidth="1"/>
    <col min="7959" max="7959" width="13" style="573" customWidth="1"/>
    <col min="7960" max="7960" width="12.75" style="573" customWidth="1"/>
    <col min="7961" max="7962" width="9.25" style="573" customWidth="1"/>
    <col min="7963" max="7963" width="14.75" style="573" customWidth="1"/>
    <col min="7964" max="7964" width="8" style="573"/>
    <col min="7965" max="7965" width="16.375" style="573" bestFit="1" customWidth="1"/>
    <col min="7966" max="7969" width="16.25" style="573" bestFit="1" customWidth="1"/>
    <col min="7970" max="7970" width="17.75" style="573" bestFit="1" customWidth="1"/>
    <col min="7971" max="7973" width="16.25" style="573" bestFit="1" customWidth="1"/>
    <col min="7974" max="7974" width="15.125" style="573" bestFit="1" customWidth="1"/>
    <col min="7975" max="7975" width="16.25" style="573" bestFit="1" customWidth="1"/>
    <col min="7976" max="7976" width="19.875" style="573" customWidth="1"/>
    <col min="7977" max="7977" width="20.125" style="573" bestFit="1" customWidth="1"/>
    <col min="7978" max="7979" width="15.125" style="573" bestFit="1" customWidth="1"/>
    <col min="7980" max="7980" width="16.25" style="573" bestFit="1" customWidth="1"/>
    <col min="7981" max="7981" width="20.75" style="573" customWidth="1"/>
    <col min="7982" max="7982" width="16.25" style="573" bestFit="1" customWidth="1"/>
    <col min="7983" max="7983" width="17.375" style="573" bestFit="1" customWidth="1"/>
    <col min="7984" max="7984" width="15.125" style="573" bestFit="1" customWidth="1"/>
    <col min="7985" max="7985" width="20.125" style="573" bestFit="1" customWidth="1"/>
    <col min="7986" max="7986" width="19.625" style="573" bestFit="1" customWidth="1"/>
    <col min="7987" max="7987" width="10.375" style="573" customWidth="1"/>
    <col min="7988" max="7988" width="13.75" style="573" customWidth="1"/>
    <col min="7989" max="7989" width="17.125" style="573" customWidth="1"/>
    <col min="7990" max="7990" width="13.375" style="573" bestFit="1" customWidth="1"/>
    <col min="7991" max="8194" width="8" style="573"/>
    <col min="8195" max="8195" width="5.875" style="573" customWidth="1"/>
    <col min="8196" max="8196" width="4.75" style="573" customWidth="1"/>
    <col min="8197" max="8197" width="24.375" style="573" customWidth="1"/>
    <col min="8198" max="8198" width="18.125" style="573" customWidth="1"/>
    <col min="8199" max="8202" width="0" style="573" hidden="1" customWidth="1"/>
    <col min="8203" max="8203" width="11.125" style="573" customWidth="1"/>
    <col min="8204" max="8204" width="12.875" style="573" customWidth="1"/>
    <col min="8205" max="8206" width="0" style="573" hidden="1" customWidth="1"/>
    <col min="8207" max="8207" width="11.25" style="573" customWidth="1"/>
    <col min="8208" max="8208" width="12.375" style="573" bestFit="1" customWidth="1"/>
    <col min="8209" max="8210" width="11.25" style="573" customWidth="1"/>
    <col min="8211" max="8211" width="12.375" style="573" bestFit="1" customWidth="1"/>
    <col min="8212" max="8212" width="12.375" style="573" customWidth="1"/>
    <col min="8213" max="8213" width="13.125" style="573" customWidth="1"/>
    <col min="8214" max="8214" width="12.125" style="573" customWidth="1"/>
    <col min="8215" max="8215" width="13" style="573" customWidth="1"/>
    <col min="8216" max="8216" width="12.75" style="573" customWidth="1"/>
    <col min="8217" max="8218" width="9.25" style="573" customWidth="1"/>
    <col min="8219" max="8219" width="14.75" style="573" customWidth="1"/>
    <col min="8220" max="8220" width="8" style="573"/>
    <col min="8221" max="8221" width="16.375" style="573" bestFit="1" customWidth="1"/>
    <col min="8222" max="8225" width="16.25" style="573" bestFit="1" customWidth="1"/>
    <col min="8226" max="8226" width="17.75" style="573" bestFit="1" customWidth="1"/>
    <col min="8227" max="8229" width="16.25" style="573" bestFit="1" customWidth="1"/>
    <col min="8230" max="8230" width="15.125" style="573" bestFit="1" customWidth="1"/>
    <col min="8231" max="8231" width="16.25" style="573" bestFit="1" customWidth="1"/>
    <col min="8232" max="8232" width="19.875" style="573" customWidth="1"/>
    <col min="8233" max="8233" width="20.125" style="573" bestFit="1" customWidth="1"/>
    <col min="8234" max="8235" width="15.125" style="573" bestFit="1" customWidth="1"/>
    <col min="8236" max="8236" width="16.25" style="573" bestFit="1" customWidth="1"/>
    <col min="8237" max="8237" width="20.75" style="573" customWidth="1"/>
    <col min="8238" max="8238" width="16.25" style="573" bestFit="1" customWidth="1"/>
    <col min="8239" max="8239" width="17.375" style="573" bestFit="1" customWidth="1"/>
    <col min="8240" max="8240" width="15.125" style="573" bestFit="1" customWidth="1"/>
    <col min="8241" max="8241" width="20.125" style="573" bestFit="1" customWidth="1"/>
    <col min="8242" max="8242" width="19.625" style="573" bestFit="1" customWidth="1"/>
    <col min="8243" max="8243" width="10.375" style="573" customWidth="1"/>
    <col min="8244" max="8244" width="13.75" style="573" customWidth="1"/>
    <col min="8245" max="8245" width="17.125" style="573" customWidth="1"/>
    <col min="8246" max="8246" width="13.375" style="573" bestFit="1" customWidth="1"/>
    <col min="8247" max="8450" width="8" style="573"/>
    <col min="8451" max="8451" width="5.875" style="573" customWidth="1"/>
    <col min="8452" max="8452" width="4.75" style="573" customWidth="1"/>
    <col min="8453" max="8453" width="24.375" style="573" customWidth="1"/>
    <col min="8454" max="8454" width="18.125" style="573" customWidth="1"/>
    <col min="8455" max="8458" width="0" style="573" hidden="1" customWidth="1"/>
    <col min="8459" max="8459" width="11.125" style="573" customWidth="1"/>
    <col min="8460" max="8460" width="12.875" style="573" customWidth="1"/>
    <col min="8461" max="8462" width="0" style="573" hidden="1" customWidth="1"/>
    <col min="8463" max="8463" width="11.25" style="573" customWidth="1"/>
    <col min="8464" max="8464" width="12.375" style="573" bestFit="1" customWidth="1"/>
    <col min="8465" max="8466" width="11.25" style="573" customWidth="1"/>
    <col min="8467" max="8467" width="12.375" style="573" bestFit="1" customWidth="1"/>
    <col min="8468" max="8468" width="12.375" style="573" customWidth="1"/>
    <col min="8469" max="8469" width="13.125" style="573" customWidth="1"/>
    <col min="8470" max="8470" width="12.125" style="573" customWidth="1"/>
    <col min="8471" max="8471" width="13" style="573" customWidth="1"/>
    <col min="8472" max="8472" width="12.75" style="573" customWidth="1"/>
    <col min="8473" max="8474" width="9.25" style="573" customWidth="1"/>
    <col min="8475" max="8475" width="14.75" style="573" customWidth="1"/>
    <col min="8476" max="8476" width="8" style="573"/>
    <col min="8477" max="8477" width="16.375" style="573" bestFit="1" customWidth="1"/>
    <col min="8478" max="8481" width="16.25" style="573" bestFit="1" customWidth="1"/>
    <col min="8482" max="8482" width="17.75" style="573" bestFit="1" customWidth="1"/>
    <col min="8483" max="8485" width="16.25" style="573" bestFit="1" customWidth="1"/>
    <col min="8486" max="8486" width="15.125" style="573" bestFit="1" customWidth="1"/>
    <col min="8487" max="8487" width="16.25" style="573" bestFit="1" customWidth="1"/>
    <col min="8488" max="8488" width="19.875" style="573" customWidth="1"/>
    <col min="8489" max="8489" width="20.125" style="573" bestFit="1" customWidth="1"/>
    <col min="8490" max="8491" width="15.125" style="573" bestFit="1" customWidth="1"/>
    <col min="8492" max="8492" width="16.25" style="573" bestFit="1" customWidth="1"/>
    <col min="8493" max="8493" width="20.75" style="573" customWidth="1"/>
    <col min="8494" max="8494" width="16.25" style="573" bestFit="1" customWidth="1"/>
    <col min="8495" max="8495" width="17.375" style="573" bestFit="1" customWidth="1"/>
    <col min="8496" max="8496" width="15.125" style="573" bestFit="1" customWidth="1"/>
    <col min="8497" max="8497" width="20.125" style="573" bestFit="1" customWidth="1"/>
    <col min="8498" max="8498" width="19.625" style="573" bestFit="1" customWidth="1"/>
    <col min="8499" max="8499" width="10.375" style="573" customWidth="1"/>
    <col min="8500" max="8500" width="13.75" style="573" customWidth="1"/>
    <col min="8501" max="8501" width="17.125" style="573" customWidth="1"/>
    <col min="8502" max="8502" width="13.375" style="573" bestFit="1" customWidth="1"/>
    <col min="8503" max="8706" width="8" style="573"/>
    <col min="8707" max="8707" width="5.875" style="573" customWidth="1"/>
    <col min="8708" max="8708" width="4.75" style="573" customWidth="1"/>
    <col min="8709" max="8709" width="24.375" style="573" customWidth="1"/>
    <col min="8710" max="8710" width="18.125" style="573" customWidth="1"/>
    <col min="8711" max="8714" width="0" style="573" hidden="1" customWidth="1"/>
    <col min="8715" max="8715" width="11.125" style="573" customWidth="1"/>
    <col min="8716" max="8716" width="12.875" style="573" customWidth="1"/>
    <col min="8717" max="8718" width="0" style="573" hidden="1" customWidth="1"/>
    <col min="8719" max="8719" width="11.25" style="573" customWidth="1"/>
    <col min="8720" max="8720" width="12.375" style="573" bestFit="1" customWidth="1"/>
    <col min="8721" max="8722" width="11.25" style="573" customWidth="1"/>
    <col min="8723" max="8723" width="12.375" style="573" bestFit="1" customWidth="1"/>
    <col min="8724" max="8724" width="12.375" style="573" customWidth="1"/>
    <col min="8725" max="8725" width="13.125" style="573" customWidth="1"/>
    <col min="8726" max="8726" width="12.125" style="573" customWidth="1"/>
    <col min="8727" max="8727" width="13" style="573" customWidth="1"/>
    <col min="8728" max="8728" width="12.75" style="573" customWidth="1"/>
    <col min="8729" max="8730" width="9.25" style="573" customWidth="1"/>
    <col min="8731" max="8731" width="14.75" style="573" customWidth="1"/>
    <col min="8732" max="8732" width="8" style="573"/>
    <col min="8733" max="8733" width="16.375" style="573" bestFit="1" customWidth="1"/>
    <col min="8734" max="8737" width="16.25" style="573" bestFit="1" customWidth="1"/>
    <col min="8738" max="8738" width="17.75" style="573" bestFit="1" customWidth="1"/>
    <col min="8739" max="8741" width="16.25" style="573" bestFit="1" customWidth="1"/>
    <col min="8742" max="8742" width="15.125" style="573" bestFit="1" customWidth="1"/>
    <col min="8743" max="8743" width="16.25" style="573" bestFit="1" customWidth="1"/>
    <col min="8744" max="8744" width="19.875" style="573" customWidth="1"/>
    <col min="8745" max="8745" width="20.125" style="573" bestFit="1" customWidth="1"/>
    <col min="8746" max="8747" width="15.125" style="573" bestFit="1" customWidth="1"/>
    <col min="8748" max="8748" width="16.25" style="573" bestFit="1" customWidth="1"/>
    <col min="8749" max="8749" width="20.75" style="573" customWidth="1"/>
    <col min="8750" max="8750" width="16.25" style="573" bestFit="1" customWidth="1"/>
    <col min="8751" max="8751" width="17.375" style="573" bestFit="1" customWidth="1"/>
    <col min="8752" max="8752" width="15.125" style="573" bestFit="1" customWidth="1"/>
    <col min="8753" max="8753" width="20.125" style="573" bestFit="1" customWidth="1"/>
    <col min="8754" max="8754" width="19.625" style="573" bestFit="1" customWidth="1"/>
    <col min="8755" max="8755" width="10.375" style="573" customWidth="1"/>
    <col min="8756" max="8756" width="13.75" style="573" customWidth="1"/>
    <col min="8757" max="8757" width="17.125" style="573" customWidth="1"/>
    <col min="8758" max="8758" width="13.375" style="573" bestFit="1" customWidth="1"/>
    <col min="8759" max="8962" width="8" style="573"/>
    <col min="8963" max="8963" width="5.875" style="573" customWidth="1"/>
    <col min="8964" max="8964" width="4.75" style="573" customWidth="1"/>
    <col min="8965" max="8965" width="24.375" style="573" customWidth="1"/>
    <col min="8966" max="8966" width="18.125" style="573" customWidth="1"/>
    <col min="8967" max="8970" width="0" style="573" hidden="1" customWidth="1"/>
    <col min="8971" max="8971" width="11.125" style="573" customWidth="1"/>
    <col min="8972" max="8972" width="12.875" style="573" customWidth="1"/>
    <col min="8973" max="8974" width="0" style="573" hidden="1" customWidth="1"/>
    <col min="8975" max="8975" width="11.25" style="573" customWidth="1"/>
    <col min="8976" max="8976" width="12.375" style="573" bestFit="1" customWidth="1"/>
    <col min="8977" max="8978" width="11.25" style="573" customWidth="1"/>
    <col min="8979" max="8979" width="12.375" style="573" bestFit="1" customWidth="1"/>
    <col min="8980" max="8980" width="12.375" style="573" customWidth="1"/>
    <col min="8981" max="8981" width="13.125" style="573" customWidth="1"/>
    <col min="8982" max="8982" width="12.125" style="573" customWidth="1"/>
    <col min="8983" max="8983" width="13" style="573" customWidth="1"/>
    <col min="8984" max="8984" width="12.75" style="573" customWidth="1"/>
    <col min="8985" max="8986" width="9.25" style="573" customWidth="1"/>
    <col min="8987" max="8987" width="14.75" style="573" customWidth="1"/>
    <col min="8988" max="8988" width="8" style="573"/>
    <col min="8989" max="8989" width="16.375" style="573" bestFit="1" customWidth="1"/>
    <col min="8990" max="8993" width="16.25" style="573" bestFit="1" customWidth="1"/>
    <col min="8994" max="8994" width="17.75" style="573" bestFit="1" customWidth="1"/>
    <col min="8995" max="8997" width="16.25" style="573" bestFit="1" customWidth="1"/>
    <col min="8998" max="8998" width="15.125" style="573" bestFit="1" customWidth="1"/>
    <col min="8999" max="8999" width="16.25" style="573" bestFit="1" customWidth="1"/>
    <col min="9000" max="9000" width="19.875" style="573" customWidth="1"/>
    <col min="9001" max="9001" width="20.125" style="573" bestFit="1" customWidth="1"/>
    <col min="9002" max="9003" width="15.125" style="573" bestFit="1" customWidth="1"/>
    <col min="9004" max="9004" width="16.25" style="573" bestFit="1" customWidth="1"/>
    <col min="9005" max="9005" width="20.75" style="573" customWidth="1"/>
    <col min="9006" max="9006" width="16.25" style="573" bestFit="1" customWidth="1"/>
    <col min="9007" max="9007" width="17.375" style="573" bestFit="1" customWidth="1"/>
    <col min="9008" max="9008" width="15.125" style="573" bestFit="1" customWidth="1"/>
    <col min="9009" max="9009" width="20.125" style="573" bestFit="1" customWidth="1"/>
    <col min="9010" max="9010" width="19.625" style="573" bestFit="1" customWidth="1"/>
    <col min="9011" max="9011" width="10.375" style="573" customWidth="1"/>
    <col min="9012" max="9012" width="13.75" style="573" customWidth="1"/>
    <col min="9013" max="9013" width="17.125" style="573" customWidth="1"/>
    <col min="9014" max="9014" width="13.375" style="573" bestFit="1" customWidth="1"/>
    <col min="9015" max="9218" width="8" style="573"/>
    <col min="9219" max="9219" width="5.875" style="573" customWidth="1"/>
    <col min="9220" max="9220" width="4.75" style="573" customWidth="1"/>
    <col min="9221" max="9221" width="24.375" style="573" customWidth="1"/>
    <col min="9222" max="9222" width="18.125" style="573" customWidth="1"/>
    <col min="9223" max="9226" width="0" style="573" hidden="1" customWidth="1"/>
    <col min="9227" max="9227" width="11.125" style="573" customWidth="1"/>
    <col min="9228" max="9228" width="12.875" style="573" customWidth="1"/>
    <col min="9229" max="9230" width="0" style="573" hidden="1" customWidth="1"/>
    <col min="9231" max="9231" width="11.25" style="573" customWidth="1"/>
    <col min="9232" max="9232" width="12.375" style="573" bestFit="1" customWidth="1"/>
    <col min="9233" max="9234" width="11.25" style="573" customWidth="1"/>
    <col min="9235" max="9235" width="12.375" style="573" bestFit="1" customWidth="1"/>
    <col min="9236" max="9236" width="12.375" style="573" customWidth="1"/>
    <col min="9237" max="9237" width="13.125" style="573" customWidth="1"/>
    <col min="9238" max="9238" width="12.125" style="573" customWidth="1"/>
    <col min="9239" max="9239" width="13" style="573" customWidth="1"/>
    <col min="9240" max="9240" width="12.75" style="573" customWidth="1"/>
    <col min="9241" max="9242" width="9.25" style="573" customWidth="1"/>
    <col min="9243" max="9243" width="14.75" style="573" customWidth="1"/>
    <col min="9244" max="9244" width="8" style="573"/>
    <col min="9245" max="9245" width="16.375" style="573" bestFit="1" customWidth="1"/>
    <col min="9246" max="9249" width="16.25" style="573" bestFit="1" customWidth="1"/>
    <col min="9250" max="9250" width="17.75" style="573" bestFit="1" customWidth="1"/>
    <col min="9251" max="9253" width="16.25" style="573" bestFit="1" customWidth="1"/>
    <col min="9254" max="9254" width="15.125" style="573" bestFit="1" customWidth="1"/>
    <col min="9255" max="9255" width="16.25" style="573" bestFit="1" customWidth="1"/>
    <col min="9256" max="9256" width="19.875" style="573" customWidth="1"/>
    <col min="9257" max="9257" width="20.125" style="573" bestFit="1" customWidth="1"/>
    <col min="9258" max="9259" width="15.125" style="573" bestFit="1" customWidth="1"/>
    <col min="9260" max="9260" width="16.25" style="573" bestFit="1" customWidth="1"/>
    <col min="9261" max="9261" width="20.75" style="573" customWidth="1"/>
    <col min="9262" max="9262" width="16.25" style="573" bestFit="1" customWidth="1"/>
    <col min="9263" max="9263" width="17.375" style="573" bestFit="1" customWidth="1"/>
    <col min="9264" max="9264" width="15.125" style="573" bestFit="1" customWidth="1"/>
    <col min="9265" max="9265" width="20.125" style="573" bestFit="1" customWidth="1"/>
    <col min="9266" max="9266" width="19.625" style="573" bestFit="1" customWidth="1"/>
    <col min="9267" max="9267" width="10.375" style="573" customWidth="1"/>
    <col min="9268" max="9268" width="13.75" style="573" customWidth="1"/>
    <col min="9269" max="9269" width="17.125" style="573" customWidth="1"/>
    <col min="9270" max="9270" width="13.375" style="573" bestFit="1" customWidth="1"/>
    <col min="9271" max="9474" width="8" style="573"/>
    <col min="9475" max="9475" width="5.875" style="573" customWidth="1"/>
    <col min="9476" max="9476" width="4.75" style="573" customWidth="1"/>
    <col min="9477" max="9477" width="24.375" style="573" customWidth="1"/>
    <col min="9478" max="9478" width="18.125" style="573" customWidth="1"/>
    <col min="9479" max="9482" width="0" style="573" hidden="1" customWidth="1"/>
    <col min="9483" max="9483" width="11.125" style="573" customWidth="1"/>
    <col min="9484" max="9484" width="12.875" style="573" customWidth="1"/>
    <col min="9485" max="9486" width="0" style="573" hidden="1" customWidth="1"/>
    <col min="9487" max="9487" width="11.25" style="573" customWidth="1"/>
    <col min="9488" max="9488" width="12.375" style="573" bestFit="1" customWidth="1"/>
    <col min="9489" max="9490" width="11.25" style="573" customWidth="1"/>
    <col min="9491" max="9491" width="12.375" style="573" bestFit="1" customWidth="1"/>
    <col min="9492" max="9492" width="12.375" style="573" customWidth="1"/>
    <col min="9493" max="9493" width="13.125" style="573" customWidth="1"/>
    <col min="9494" max="9494" width="12.125" style="573" customWidth="1"/>
    <col min="9495" max="9495" width="13" style="573" customWidth="1"/>
    <col min="9496" max="9496" width="12.75" style="573" customWidth="1"/>
    <col min="9497" max="9498" width="9.25" style="573" customWidth="1"/>
    <col min="9499" max="9499" width="14.75" style="573" customWidth="1"/>
    <col min="9500" max="9500" width="8" style="573"/>
    <col min="9501" max="9501" width="16.375" style="573" bestFit="1" customWidth="1"/>
    <col min="9502" max="9505" width="16.25" style="573" bestFit="1" customWidth="1"/>
    <col min="9506" max="9506" width="17.75" style="573" bestFit="1" customWidth="1"/>
    <col min="9507" max="9509" width="16.25" style="573" bestFit="1" customWidth="1"/>
    <col min="9510" max="9510" width="15.125" style="573" bestFit="1" customWidth="1"/>
    <col min="9511" max="9511" width="16.25" style="573" bestFit="1" customWidth="1"/>
    <col min="9512" max="9512" width="19.875" style="573" customWidth="1"/>
    <col min="9513" max="9513" width="20.125" style="573" bestFit="1" customWidth="1"/>
    <col min="9514" max="9515" width="15.125" style="573" bestFit="1" customWidth="1"/>
    <col min="9516" max="9516" width="16.25" style="573" bestFit="1" customWidth="1"/>
    <col min="9517" max="9517" width="20.75" style="573" customWidth="1"/>
    <col min="9518" max="9518" width="16.25" style="573" bestFit="1" customWidth="1"/>
    <col min="9519" max="9519" width="17.375" style="573" bestFit="1" customWidth="1"/>
    <col min="9520" max="9520" width="15.125" style="573" bestFit="1" customWidth="1"/>
    <col min="9521" max="9521" width="20.125" style="573" bestFit="1" customWidth="1"/>
    <col min="9522" max="9522" width="19.625" style="573" bestFit="1" customWidth="1"/>
    <col min="9523" max="9523" width="10.375" style="573" customWidth="1"/>
    <col min="9524" max="9524" width="13.75" style="573" customWidth="1"/>
    <col min="9525" max="9525" width="17.125" style="573" customWidth="1"/>
    <col min="9526" max="9526" width="13.375" style="573" bestFit="1" customWidth="1"/>
    <col min="9527" max="9730" width="8" style="573"/>
    <col min="9731" max="9731" width="5.875" style="573" customWidth="1"/>
    <col min="9732" max="9732" width="4.75" style="573" customWidth="1"/>
    <col min="9733" max="9733" width="24.375" style="573" customWidth="1"/>
    <col min="9734" max="9734" width="18.125" style="573" customWidth="1"/>
    <col min="9735" max="9738" width="0" style="573" hidden="1" customWidth="1"/>
    <col min="9739" max="9739" width="11.125" style="573" customWidth="1"/>
    <col min="9740" max="9740" width="12.875" style="573" customWidth="1"/>
    <col min="9741" max="9742" width="0" style="573" hidden="1" customWidth="1"/>
    <col min="9743" max="9743" width="11.25" style="573" customWidth="1"/>
    <col min="9744" max="9744" width="12.375" style="573" bestFit="1" customWidth="1"/>
    <col min="9745" max="9746" width="11.25" style="573" customWidth="1"/>
    <col min="9747" max="9747" width="12.375" style="573" bestFit="1" customWidth="1"/>
    <col min="9748" max="9748" width="12.375" style="573" customWidth="1"/>
    <col min="9749" max="9749" width="13.125" style="573" customWidth="1"/>
    <col min="9750" max="9750" width="12.125" style="573" customWidth="1"/>
    <col min="9751" max="9751" width="13" style="573" customWidth="1"/>
    <col min="9752" max="9752" width="12.75" style="573" customWidth="1"/>
    <col min="9753" max="9754" width="9.25" style="573" customWidth="1"/>
    <col min="9755" max="9755" width="14.75" style="573" customWidth="1"/>
    <col min="9756" max="9756" width="8" style="573"/>
    <col min="9757" max="9757" width="16.375" style="573" bestFit="1" customWidth="1"/>
    <col min="9758" max="9761" width="16.25" style="573" bestFit="1" customWidth="1"/>
    <col min="9762" max="9762" width="17.75" style="573" bestFit="1" customWidth="1"/>
    <col min="9763" max="9765" width="16.25" style="573" bestFit="1" customWidth="1"/>
    <col min="9766" max="9766" width="15.125" style="573" bestFit="1" customWidth="1"/>
    <col min="9767" max="9767" width="16.25" style="573" bestFit="1" customWidth="1"/>
    <col min="9768" max="9768" width="19.875" style="573" customWidth="1"/>
    <col min="9769" max="9769" width="20.125" style="573" bestFit="1" customWidth="1"/>
    <col min="9770" max="9771" width="15.125" style="573" bestFit="1" customWidth="1"/>
    <col min="9772" max="9772" width="16.25" style="573" bestFit="1" customWidth="1"/>
    <col min="9773" max="9773" width="20.75" style="573" customWidth="1"/>
    <col min="9774" max="9774" width="16.25" style="573" bestFit="1" customWidth="1"/>
    <col min="9775" max="9775" width="17.375" style="573" bestFit="1" customWidth="1"/>
    <col min="9776" max="9776" width="15.125" style="573" bestFit="1" customWidth="1"/>
    <col min="9777" max="9777" width="20.125" style="573" bestFit="1" customWidth="1"/>
    <col min="9778" max="9778" width="19.625" style="573" bestFit="1" customWidth="1"/>
    <col min="9779" max="9779" width="10.375" style="573" customWidth="1"/>
    <col min="9780" max="9780" width="13.75" style="573" customWidth="1"/>
    <col min="9781" max="9781" width="17.125" style="573" customWidth="1"/>
    <col min="9782" max="9782" width="13.375" style="573" bestFit="1" customWidth="1"/>
    <col min="9783" max="9986" width="8" style="573"/>
    <col min="9987" max="9987" width="5.875" style="573" customWidth="1"/>
    <col min="9988" max="9988" width="4.75" style="573" customWidth="1"/>
    <col min="9989" max="9989" width="24.375" style="573" customWidth="1"/>
    <col min="9990" max="9990" width="18.125" style="573" customWidth="1"/>
    <col min="9991" max="9994" width="0" style="573" hidden="1" customWidth="1"/>
    <col min="9995" max="9995" width="11.125" style="573" customWidth="1"/>
    <col min="9996" max="9996" width="12.875" style="573" customWidth="1"/>
    <col min="9997" max="9998" width="0" style="573" hidden="1" customWidth="1"/>
    <col min="9999" max="9999" width="11.25" style="573" customWidth="1"/>
    <col min="10000" max="10000" width="12.375" style="573" bestFit="1" customWidth="1"/>
    <col min="10001" max="10002" width="11.25" style="573" customWidth="1"/>
    <col min="10003" max="10003" width="12.375" style="573" bestFit="1" customWidth="1"/>
    <col min="10004" max="10004" width="12.375" style="573" customWidth="1"/>
    <col min="10005" max="10005" width="13.125" style="573" customWidth="1"/>
    <col min="10006" max="10006" width="12.125" style="573" customWidth="1"/>
    <col min="10007" max="10007" width="13" style="573" customWidth="1"/>
    <col min="10008" max="10008" width="12.75" style="573" customWidth="1"/>
    <col min="10009" max="10010" width="9.25" style="573" customWidth="1"/>
    <col min="10011" max="10011" width="14.75" style="573" customWidth="1"/>
    <col min="10012" max="10012" width="8" style="573"/>
    <col min="10013" max="10013" width="16.375" style="573" bestFit="1" customWidth="1"/>
    <col min="10014" max="10017" width="16.25" style="573" bestFit="1" customWidth="1"/>
    <col min="10018" max="10018" width="17.75" style="573" bestFit="1" customWidth="1"/>
    <col min="10019" max="10021" width="16.25" style="573" bestFit="1" customWidth="1"/>
    <col min="10022" max="10022" width="15.125" style="573" bestFit="1" customWidth="1"/>
    <col min="10023" max="10023" width="16.25" style="573" bestFit="1" customWidth="1"/>
    <col min="10024" max="10024" width="19.875" style="573" customWidth="1"/>
    <col min="10025" max="10025" width="20.125" style="573" bestFit="1" customWidth="1"/>
    <col min="10026" max="10027" width="15.125" style="573" bestFit="1" customWidth="1"/>
    <col min="10028" max="10028" width="16.25" style="573" bestFit="1" customWidth="1"/>
    <col min="10029" max="10029" width="20.75" style="573" customWidth="1"/>
    <col min="10030" max="10030" width="16.25" style="573" bestFit="1" customWidth="1"/>
    <col min="10031" max="10031" width="17.375" style="573" bestFit="1" customWidth="1"/>
    <col min="10032" max="10032" width="15.125" style="573" bestFit="1" customWidth="1"/>
    <col min="10033" max="10033" width="20.125" style="573" bestFit="1" customWidth="1"/>
    <col min="10034" max="10034" width="19.625" style="573" bestFit="1" customWidth="1"/>
    <col min="10035" max="10035" width="10.375" style="573" customWidth="1"/>
    <col min="10036" max="10036" width="13.75" style="573" customWidth="1"/>
    <col min="10037" max="10037" width="17.125" style="573" customWidth="1"/>
    <col min="10038" max="10038" width="13.375" style="573" bestFit="1" customWidth="1"/>
    <col min="10039" max="10242" width="8" style="573"/>
    <col min="10243" max="10243" width="5.875" style="573" customWidth="1"/>
    <col min="10244" max="10244" width="4.75" style="573" customWidth="1"/>
    <col min="10245" max="10245" width="24.375" style="573" customWidth="1"/>
    <col min="10246" max="10246" width="18.125" style="573" customWidth="1"/>
    <col min="10247" max="10250" width="0" style="573" hidden="1" customWidth="1"/>
    <col min="10251" max="10251" width="11.125" style="573" customWidth="1"/>
    <col min="10252" max="10252" width="12.875" style="573" customWidth="1"/>
    <col min="10253" max="10254" width="0" style="573" hidden="1" customWidth="1"/>
    <col min="10255" max="10255" width="11.25" style="573" customWidth="1"/>
    <col min="10256" max="10256" width="12.375" style="573" bestFit="1" customWidth="1"/>
    <col min="10257" max="10258" width="11.25" style="573" customWidth="1"/>
    <col min="10259" max="10259" width="12.375" style="573" bestFit="1" customWidth="1"/>
    <col min="10260" max="10260" width="12.375" style="573" customWidth="1"/>
    <col min="10261" max="10261" width="13.125" style="573" customWidth="1"/>
    <col min="10262" max="10262" width="12.125" style="573" customWidth="1"/>
    <col min="10263" max="10263" width="13" style="573" customWidth="1"/>
    <col min="10264" max="10264" width="12.75" style="573" customWidth="1"/>
    <col min="10265" max="10266" width="9.25" style="573" customWidth="1"/>
    <col min="10267" max="10267" width="14.75" style="573" customWidth="1"/>
    <col min="10268" max="10268" width="8" style="573"/>
    <col min="10269" max="10269" width="16.375" style="573" bestFit="1" customWidth="1"/>
    <col min="10270" max="10273" width="16.25" style="573" bestFit="1" customWidth="1"/>
    <col min="10274" max="10274" width="17.75" style="573" bestFit="1" customWidth="1"/>
    <col min="10275" max="10277" width="16.25" style="573" bestFit="1" customWidth="1"/>
    <col min="10278" max="10278" width="15.125" style="573" bestFit="1" customWidth="1"/>
    <col min="10279" max="10279" width="16.25" style="573" bestFit="1" customWidth="1"/>
    <col min="10280" max="10280" width="19.875" style="573" customWidth="1"/>
    <col min="10281" max="10281" width="20.125" style="573" bestFit="1" customWidth="1"/>
    <col min="10282" max="10283" width="15.125" style="573" bestFit="1" customWidth="1"/>
    <col min="10284" max="10284" width="16.25" style="573" bestFit="1" customWidth="1"/>
    <col min="10285" max="10285" width="20.75" style="573" customWidth="1"/>
    <col min="10286" max="10286" width="16.25" style="573" bestFit="1" customWidth="1"/>
    <col min="10287" max="10287" width="17.375" style="573" bestFit="1" customWidth="1"/>
    <col min="10288" max="10288" width="15.125" style="573" bestFit="1" customWidth="1"/>
    <col min="10289" max="10289" width="20.125" style="573" bestFit="1" customWidth="1"/>
    <col min="10290" max="10290" width="19.625" style="573" bestFit="1" customWidth="1"/>
    <col min="10291" max="10291" width="10.375" style="573" customWidth="1"/>
    <col min="10292" max="10292" width="13.75" style="573" customWidth="1"/>
    <col min="10293" max="10293" width="17.125" style="573" customWidth="1"/>
    <col min="10294" max="10294" width="13.375" style="573" bestFit="1" customWidth="1"/>
    <col min="10295" max="10498" width="8" style="573"/>
    <col min="10499" max="10499" width="5.875" style="573" customWidth="1"/>
    <col min="10500" max="10500" width="4.75" style="573" customWidth="1"/>
    <col min="10501" max="10501" width="24.375" style="573" customWidth="1"/>
    <col min="10502" max="10502" width="18.125" style="573" customWidth="1"/>
    <col min="10503" max="10506" width="0" style="573" hidden="1" customWidth="1"/>
    <col min="10507" max="10507" width="11.125" style="573" customWidth="1"/>
    <col min="10508" max="10508" width="12.875" style="573" customWidth="1"/>
    <col min="10509" max="10510" width="0" style="573" hidden="1" customWidth="1"/>
    <col min="10511" max="10511" width="11.25" style="573" customWidth="1"/>
    <col min="10512" max="10512" width="12.375" style="573" bestFit="1" customWidth="1"/>
    <col min="10513" max="10514" width="11.25" style="573" customWidth="1"/>
    <col min="10515" max="10515" width="12.375" style="573" bestFit="1" customWidth="1"/>
    <col min="10516" max="10516" width="12.375" style="573" customWidth="1"/>
    <col min="10517" max="10517" width="13.125" style="573" customWidth="1"/>
    <col min="10518" max="10518" width="12.125" style="573" customWidth="1"/>
    <col min="10519" max="10519" width="13" style="573" customWidth="1"/>
    <col min="10520" max="10520" width="12.75" style="573" customWidth="1"/>
    <col min="10521" max="10522" width="9.25" style="573" customWidth="1"/>
    <col min="10523" max="10523" width="14.75" style="573" customWidth="1"/>
    <col min="10524" max="10524" width="8" style="573"/>
    <col min="10525" max="10525" width="16.375" style="573" bestFit="1" customWidth="1"/>
    <col min="10526" max="10529" width="16.25" style="573" bestFit="1" customWidth="1"/>
    <col min="10530" max="10530" width="17.75" style="573" bestFit="1" customWidth="1"/>
    <col min="10531" max="10533" width="16.25" style="573" bestFit="1" customWidth="1"/>
    <col min="10534" max="10534" width="15.125" style="573" bestFit="1" customWidth="1"/>
    <col min="10535" max="10535" width="16.25" style="573" bestFit="1" customWidth="1"/>
    <col min="10536" max="10536" width="19.875" style="573" customWidth="1"/>
    <col min="10537" max="10537" width="20.125" style="573" bestFit="1" customWidth="1"/>
    <col min="10538" max="10539" width="15.125" style="573" bestFit="1" customWidth="1"/>
    <col min="10540" max="10540" width="16.25" style="573" bestFit="1" customWidth="1"/>
    <col min="10541" max="10541" width="20.75" style="573" customWidth="1"/>
    <col min="10542" max="10542" width="16.25" style="573" bestFit="1" customWidth="1"/>
    <col min="10543" max="10543" width="17.375" style="573" bestFit="1" customWidth="1"/>
    <col min="10544" max="10544" width="15.125" style="573" bestFit="1" customWidth="1"/>
    <col min="10545" max="10545" width="20.125" style="573" bestFit="1" customWidth="1"/>
    <col min="10546" max="10546" width="19.625" style="573" bestFit="1" customWidth="1"/>
    <col min="10547" max="10547" width="10.375" style="573" customWidth="1"/>
    <col min="10548" max="10548" width="13.75" style="573" customWidth="1"/>
    <col min="10549" max="10549" width="17.125" style="573" customWidth="1"/>
    <col min="10550" max="10550" width="13.375" style="573" bestFit="1" customWidth="1"/>
    <col min="10551" max="10754" width="8" style="573"/>
    <col min="10755" max="10755" width="5.875" style="573" customWidth="1"/>
    <col min="10756" max="10756" width="4.75" style="573" customWidth="1"/>
    <col min="10757" max="10757" width="24.375" style="573" customWidth="1"/>
    <col min="10758" max="10758" width="18.125" style="573" customWidth="1"/>
    <col min="10759" max="10762" width="0" style="573" hidden="1" customWidth="1"/>
    <col min="10763" max="10763" width="11.125" style="573" customWidth="1"/>
    <col min="10764" max="10764" width="12.875" style="573" customWidth="1"/>
    <col min="10765" max="10766" width="0" style="573" hidden="1" customWidth="1"/>
    <col min="10767" max="10767" width="11.25" style="573" customWidth="1"/>
    <col min="10768" max="10768" width="12.375" style="573" bestFit="1" customWidth="1"/>
    <col min="10769" max="10770" width="11.25" style="573" customWidth="1"/>
    <col min="10771" max="10771" width="12.375" style="573" bestFit="1" customWidth="1"/>
    <col min="10772" max="10772" width="12.375" style="573" customWidth="1"/>
    <col min="10773" max="10773" width="13.125" style="573" customWidth="1"/>
    <col min="10774" max="10774" width="12.125" style="573" customWidth="1"/>
    <col min="10775" max="10775" width="13" style="573" customWidth="1"/>
    <col min="10776" max="10776" width="12.75" style="573" customWidth="1"/>
    <col min="10777" max="10778" width="9.25" style="573" customWidth="1"/>
    <col min="10779" max="10779" width="14.75" style="573" customWidth="1"/>
    <col min="10780" max="10780" width="8" style="573"/>
    <col min="10781" max="10781" width="16.375" style="573" bestFit="1" customWidth="1"/>
    <col min="10782" max="10785" width="16.25" style="573" bestFit="1" customWidth="1"/>
    <col min="10786" max="10786" width="17.75" style="573" bestFit="1" customWidth="1"/>
    <col min="10787" max="10789" width="16.25" style="573" bestFit="1" customWidth="1"/>
    <col min="10790" max="10790" width="15.125" style="573" bestFit="1" customWidth="1"/>
    <col min="10791" max="10791" width="16.25" style="573" bestFit="1" customWidth="1"/>
    <col min="10792" max="10792" width="19.875" style="573" customWidth="1"/>
    <col min="10793" max="10793" width="20.125" style="573" bestFit="1" customWidth="1"/>
    <col min="10794" max="10795" width="15.125" style="573" bestFit="1" customWidth="1"/>
    <col min="10796" max="10796" width="16.25" style="573" bestFit="1" customWidth="1"/>
    <col min="10797" max="10797" width="20.75" style="573" customWidth="1"/>
    <col min="10798" max="10798" width="16.25" style="573" bestFit="1" customWidth="1"/>
    <col min="10799" max="10799" width="17.375" style="573" bestFit="1" customWidth="1"/>
    <col min="10800" max="10800" width="15.125" style="573" bestFit="1" customWidth="1"/>
    <col min="10801" max="10801" width="20.125" style="573" bestFit="1" customWidth="1"/>
    <col min="10802" max="10802" width="19.625" style="573" bestFit="1" customWidth="1"/>
    <col min="10803" max="10803" width="10.375" style="573" customWidth="1"/>
    <col min="10804" max="10804" width="13.75" style="573" customWidth="1"/>
    <col min="10805" max="10805" width="17.125" style="573" customWidth="1"/>
    <col min="10806" max="10806" width="13.375" style="573" bestFit="1" customWidth="1"/>
    <col min="10807" max="11010" width="8" style="573"/>
    <col min="11011" max="11011" width="5.875" style="573" customWidth="1"/>
    <col min="11012" max="11012" width="4.75" style="573" customWidth="1"/>
    <col min="11013" max="11013" width="24.375" style="573" customWidth="1"/>
    <col min="11014" max="11014" width="18.125" style="573" customWidth="1"/>
    <col min="11015" max="11018" width="0" style="573" hidden="1" customWidth="1"/>
    <col min="11019" max="11019" width="11.125" style="573" customWidth="1"/>
    <col min="11020" max="11020" width="12.875" style="573" customWidth="1"/>
    <col min="11021" max="11022" width="0" style="573" hidden="1" customWidth="1"/>
    <col min="11023" max="11023" width="11.25" style="573" customWidth="1"/>
    <col min="11024" max="11024" width="12.375" style="573" bestFit="1" customWidth="1"/>
    <col min="11025" max="11026" width="11.25" style="573" customWidth="1"/>
    <col min="11027" max="11027" width="12.375" style="573" bestFit="1" customWidth="1"/>
    <col min="11028" max="11028" width="12.375" style="573" customWidth="1"/>
    <col min="11029" max="11029" width="13.125" style="573" customWidth="1"/>
    <col min="11030" max="11030" width="12.125" style="573" customWidth="1"/>
    <col min="11031" max="11031" width="13" style="573" customWidth="1"/>
    <col min="11032" max="11032" width="12.75" style="573" customWidth="1"/>
    <col min="11033" max="11034" width="9.25" style="573" customWidth="1"/>
    <col min="11035" max="11035" width="14.75" style="573" customWidth="1"/>
    <col min="11036" max="11036" width="8" style="573"/>
    <col min="11037" max="11037" width="16.375" style="573" bestFit="1" customWidth="1"/>
    <col min="11038" max="11041" width="16.25" style="573" bestFit="1" customWidth="1"/>
    <col min="11042" max="11042" width="17.75" style="573" bestFit="1" customWidth="1"/>
    <col min="11043" max="11045" width="16.25" style="573" bestFit="1" customWidth="1"/>
    <col min="11046" max="11046" width="15.125" style="573" bestFit="1" customWidth="1"/>
    <col min="11047" max="11047" width="16.25" style="573" bestFit="1" customWidth="1"/>
    <col min="11048" max="11048" width="19.875" style="573" customWidth="1"/>
    <col min="11049" max="11049" width="20.125" style="573" bestFit="1" customWidth="1"/>
    <col min="11050" max="11051" width="15.125" style="573" bestFit="1" customWidth="1"/>
    <col min="11052" max="11052" width="16.25" style="573" bestFit="1" customWidth="1"/>
    <col min="11053" max="11053" width="20.75" style="573" customWidth="1"/>
    <col min="11054" max="11054" width="16.25" style="573" bestFit="1" customWidth="1"/>
    <col min="11055" max="11055" width="17.375" style="573" bestFit="1" customWidth="1"/>
    <col min="11056" max="11056" width="15.125" style="573" bestFit="1" customWidth="1"/>
    <col min="11057" max="11057" width="20.125" style="573" bestFit="1" customWidth="1"/>
    <col min="11058" max="11058" width="19.625" style="573" bestFit="1" customWidth="1"/>
    <col min="11059" max="11059" width="10.375" style="573" customWidth="1"/>
    <col min="11060" max="11060" width="13.75" style="573" customWidth="1"/>
    <col min="11061" max="11061" width="17.125" style="573" customWidth="1"/>
    <col min="11062" max="11062" width="13.375" style="573" bestFit="1" customWidth="1"/>
    <col min="11063" max="11266" width="8" style="573"/>
    <col min="11267" max="11267" width="5.875" style="573" customWidth="1"/>
    <col min="11268" max="11268" width="4.75" style="573" customWidth="1"/>
    <col min="11269" max="11269" width="24.375" style="573" customWidth="1"/>
    <col min="11270" max="11270" width="18.125" style="573" customWidth="1"/>
    <col min="11271" max="11274" width="0" style="573" hidden="1" customWidth="1"/>
    <col min="11275" max="11275" width="11.125" style="573" customWidth="1"/>
    <col min="11276" max="11276" width="12.875" style="573" customWidth="1"/>
    <col min="11277" max="11278" width="0" style="573" hidden="1" customWidth="1"/>
    <col min="11279" max="11279" width="11.25" style="573" customWidth="1"/>
    <col min="11280" max="11280" width="12.375" style="573" bestFit="1" customWidth="1"/>
    <col min="11281" max="11282" width="11.25" style="573" customWidth="1"/>
    <col min="11283" max="11283" width="12.375" style="573" bestFit="1" customWidth="1"/>
    <col min="11284" max="11284" width="12.375" style="573" customWidth="1"/>
    <col min="11285" max="11285" width="13.125" style="573" customWidth="1"/>
    <col min="11286" max="11286" width="12.125" style="573" customWidth="1"/>
    <col min="11287" max="11287" width="13" style="573" customWidth="1"/>
    <col min="11288" max="11288" width="12.75" style="573" customWidth="1"/>
    <col min="11289" max="11290" width="9.25" style="573" customWidth="1"/>
    <col min="11291" max="11291" width="14.75" style="573" customWidth="1"/>
    <col min="11292" max="11292" width="8" style="573"/>
    <col min="11293" max="11293" width="16.375" style="573" bestFit="1" customWidth="1"/>
    <col min="11294" max="11297" width="16.25" style="573" bestFit="1" customWidth="1"/>
    <col min="11298" max="11298" width="17.75" style="573" bestFit="1" customWidth="1"/>
    <col min="11299" max="11301" width="16.25" style="573" bestFit="1" customWidth="1"/>
    <col min="11302" max="11302" width="15.125" style="573" bestFit="1" customWidth="1"/>
    <col min="11303" max="11303" width="16.25" style="573" bestFit="1" customWidth="1"/>
    <col min="11304" max="11304" width="19.875" style="573" customWidth="1"/>
    <col min="11305" max="11305" width="20.125" style="573" bestFit="1" customWidth="1"/>
    <col min="11306" max="11307" width="15.125" style="573" bestFit="1" customWidth="1"/>
    <col min="11308" max="11308" width="16.25" style="573" bestFit="1" customWidth="1"/>
    <col min="11309" max="11309" width="20.75" style="573" customWidth="1"/>
    <col min="11310" max="11310" width="16.25" style="573" bestFit="1" customWidth="1"/>
    <col min="11311" max="11311" width="17.375" style="573" bestFit="1" customWidth="1"/>
    <col min="11312" max="11312" width="15.125" style="573" bestFit="1" customWidth="1"/>
    <col min="11313" max="11313" width="20.125" style="573" bestFit="1" customWidth="1"/>
    <col min="11314" max="11314" width="19.625" style="573" bestFit="1" customWidth="1"/>
    <col min="11315" max="11315" width="10.375" style="573" customWidth="1"/>
    <col min="11316" max="11316" width="13.75" style="573" customWidth="1"/>
    <col min="11317" max="11317" width="17.125" style="573" customWidth="1"/>
    <col min="11318" max="11318" width="13.375" style="573" bestFit="1" customWidth="1"/>
    <col min="11319" max="11522" width="8" style="573"/>
    <col min="11523" max="11523" width="5.875" style="573" customWidth="1"/>
    <col min="11524" max="11524" width="4.75" style="573" customWidth="1"/>
    <col min="11525" max="11525" width="24.375" style="573" customWidth="1"/>
    <col min="11526" max="11526" width="18.125" style="573" customWidth="1"/>
    <col min="11527" max="11530" width="0" style="573" hidden="1" customWidth="1"/>
    <col min="11531" max="11531" width="11.125" style="573" customWidth="1"/>
    <col min="11532" max="11532" width="12.875" style="573" customWidth="1"/>
    <col min="11533" max="11534" width="0" style="573" hidden="1" customWidth="1"/>
    <col min="11535" max="11535" width="11.25" style="573" customWidth="1"/>
    <col min="11536" max="11536" width="12.375" style="573" bestFit="1" customWidth="1"/>
    <col min="11537" max="11538" width="11.25" style="573" customWidth="1"/>
    <col min="11539" max="11539" width="12.375" style="573" bestFit="1" customWidth="1"/>
    <col min="11540" max="11540" width="12.375" style="573" customWidth="1"/>
    <col min="11541" max="11541" width="13.125" style="573" customWidth="1"/>
    <col min="11542" max="11542" width="12.125" style="573" customWidth="1"/>
    <col min="11543" max="11543" width="13" style="573" customWidth="1"/>
    <col min="11544" max="11544" width="12.75" style="573" customWidth="1"/>
    <col min="11545" max="11546" width="9.25" style="573" customWidth="1"/>
    <col min="11547" max="11547" width="14.75" style="573" customWidth="1"/>
    <col min="11548" max="11548" width="8" style="573"/>
    <col min="11549" max="11549" width="16.375" style="573" bestFit="1" customWidth="1"/>
    <col min="11550" max="11553" width="16.25" style="573" bestFit="1" customWidth="1"/>
    <col min="11554" max="11554" width="17.75" style="573" bestFit="1" customWidth="1"/>
    <col min="11555" max="11557" width="16.25" style="573" bestFit="1" customWidth="1"/>
    <col min="11558" max="11558" width="15.125" style="573" bestFit="1" customWidth="1"/>
    <col min="11559" max="11559" width="16.25" style="573" bestFit="1" customWidth="1"/>
    <col min="11560" max="11560" width="19.875" style="573" customWidth="1"/>
    <col min="11561" max="11561" width="20.125" style="573" bestFit="1" customWidth="1"/>
    <col min="11562" max="11563" width="15.125" style="573" bestFit="1" customWidth="1"/>
    <col min="11564" max="11564" width="16.25" style="573" bestFit="1" customWidth="1"/>
    <col min="11565" max="11565" width="20.75" style="573" customWidth="1"/>
    <col min="11566" max="11566" width="16.25" style="573" bestFit="1" customWidth="1"/>
    <col min="11567" max="11567" width="17.375" style="573" bestFit="1" customWidth="1"/>
    <col min="11568" max="11568" width="15.125" style="573" bestFit="1" customWidth="1"/>
    <col min="11569" max="11569" width="20.125" style="573" bestFit="1" customWidth="1"/>
    <col min="11570" max="11570" width="19.625" style="573" bestFit="1" customWidth="1"/>
    <col min="11571" max="11571" width="10.375" style="573" customWidth="1"/>
    <col min="11572" max="11572" width="13.75" style="573" customWidth="1"/>
    <col min="11573" max="11573" width="17.125" style="573" customWidth="1"/>
    <col min="11574" max="11574" width="13.375" style="573" bestFit="1" customWidth="1"/>
    <col min="11575" max="11778" width="8" style="573"/>
    <col min="11779" max="11779" width="5.875" style="573" customWidth="1"/>
    <col min="11780" max="11780" width="4.75" style="573" customWidth="1"/>
    <col min="11781" max="11781" width="24.375" style="573" customWidth="1"/>
    <col min="11782" max="11782" width="18.125" style="573" customWidth="1"/>
    <col min="11783" max="11786" width="0" style="573" hidden="1" customWidth="1"/>
    <col min="11787" max="11787" width="11.125" style="573" customWidth="1"/>
    <col min="11788" max="11788" width="12.875" style="573" customWidth="1"/>
    <col min="11789" max="11790" width="0" style="573" hidden="1" customWidth="1"/>
    <col min="11791" max="11791" width="11.25" style="573" customWidth="1"/>
    <col min="11792" max="11792" width="12.375" style="573" bestFit="1" customWidth="1"/>
    <col min="11793" max="11794" width="11.25" style="573" customWidth="1"/>
    <col min="11795" max="11795" width="12.375" style="573" bestFit="1" customWidth="1"/>
    <col min="11796" max="11796" width="12.375" style="573" customWidth="1"/>
    <col min="11797" max="11797" width="13.125" style="573" customWidth="1"/>
    <col min="11798" max="11798" width="12.125" style="573" customWidth="1"/>
    <col min="11799" max="11799" width="13" style="573" customWidth="1"/>
    <col min="11800" max="11800" width="12.75" style="573" customWidth="1"/>
    <col min="11801" max="11802" width="9.25" style="573" customWidth="1"/>
    <col min="11803" max="11803" width="14.75" style="573" customWidth="1"/>
    <col min="11804" max="11804" width="8" style="573"/>
    <col min="11805" max="11805" width="16.375" style="573" bestFit="1" customWidth="1"/>
    <col min="11806" max="11809" width="16.25" style="573" bestFit="1" customWidth="1"/>
    <col min="11810" max="11810" width="17.75" style="573" bestFit="1" customWidth="1"/>
    <col min="11811" max="11813" width="16.25" style="573" bestFit="1" customWidth="1"/>
    <col min="11814" max="11814" width="15.125" style="573" bestFit="1" customWidth="1"/>
    <col min="11815" max="11815" width="16.25" style="573" bestFit="1" customWidth="1"/>
    <col min="11816" max="11816" width="19.875" style="573" customWidth="1"/>
    <col min="11817" max="11817" width="20.125" style="573" bestFit="1" customWidth="1"/>
    <col min="11818" max="11819" width="15.125" style="573" bestFit="1" customWidth="1"/>
    <col min="11820" max="11820" width="16.25" style="573" bestFit="1" customWidth="1"/>
    <col min="11821" max="11821" width="20.75" style="573" customWidth="1"/>
    <col min="11822" max="11822" width="16.25" style="573" bestFit="1" customWidth="1"/>
    <col min="11823" max="11823" width="17.375" style="573" bestFit="1" customWidth="1"/>
    <col min="11824" max="11824" width="15.125" style="573" bestFit="1" customWidth="1"/>
    <col min="11825" max="11825" width="20.125" style="573" bestFit="1" customWidth="1"/>
    <col min="11826" max="11826" width="19.625" style="573" bestFit="1" customWidth="1"/>
    <col min="11827" max="11827" width="10.375" style="573" customWidth="1"/>
    <col min="11828" max="11828" width="13.75" style="573" customWidth="1"/>
    <col min="11829" max="11829" width="17.125" style="573" customWidth="1"/>
    <col min="11830" max="11830" width="13.375" style="573" bestFit="1" customWidth="1"/>
    <col min="11831" max="12034" width="8" style="573"/>
    <col min="12035" max="12035" width="5.875" style="573" customWidth="1"/>
    <col min="12036" max="12036" width="4.75" style="573" customWidth="1"/>
    <col min="12037" max="12037" width="24.375" style="573" customWidth="1"/>
    <col min="12038" max="12038" width="18.125" style="573" customWidth="1"/>
    <col min="12039" max="12042" width="0" style="573" hidden="1" customWidth="1"/>
    <col min="12043" max="12043" width="11.125" style="573" customWidth="1"/>
    <col min="12044" max="12044" width="12.875" style="573" customWidth="1"/>
    <col min="12045" max="12046" width="0" style="573" hidden="1" customWidth="1"/>
    <col min="12047" max="12047" width="11.25" style="573" customWidth="1"/>
    <col min="12048" max="12048" width="12.375" style="573" bestFit="1" customWidth="1"/>
    <col min="12049" max="12050" width="11.25" style="573" customWidth="1"/>
    <col min="12051" max="12051" width="12.375" style="573" bestFit="1" customWidth="1"/>
    <col min="12052" max="12052" width="12.375" style="573" customWidth="1"/>
    <col min="12053" max="12053" width="13.125" style="573" customWidth="1"/>
    <col min="12054" max="12054" width="12.125" style="573" customWidth="1"/>
    <col min="12055" max="12055" width="13" style="573" customWidth="1"/>
    <col min="12056" max="12056" width="12.75" style="573" customWidth="1"/>
    <col min="12057" max="12058" width="9.25" style="573" customWidth="1"/>
    <col min="12059" max="12059" width="14.75" style="573" customWidth="1"/>
    <col min="12060" max="12060" width="8" style="573"/>
    <col min="12061" max="12061" width="16.375" style="573" bestFit="1" customWidth="1"/>
    <col min="12062" max="12065" width="16.25" style="573" bestFit="1" customWidth="1"/>
    <col min="12066" max="12066" width="17.75" style="573" bestFit="1" customWidth="1"/>
    <col min="12067" max="12069" width="16.25" style="573" bestFit="1" customWidth="1"/>
    <col min="12070" max="12070" width="15.125" style="573" bestFit="1" customWidth="1"/>
    <col min="12071" max="12071" width="16.25" style="573" bestFit="1" customWidth="1"/>
    <col min="12072" max="12072" width="19.875" style="573" customWidth="1"/>
    <col min="12073" max="12073" width="20.125" style="573" bestFit="1" customWidth="1"/>
    <col min="12074" max="12075" width="15.125" style="573" bestFit="1" customWidth="1"/>
    <col min="12076" max="12076" width="16.25" style="573" bestFit="1" customWidth="1"/>
    <col min="12077" max="12077" width="20.75" style="573" customWidth="1"/>
    <col min="12078" max="12078" width="16.25" style="573" bestFit="1" customWidth="1"/>
    <col min="12079" max="12079" width="17.375" style="573" bestFit="1" customWidth="1"/>
    <col min="12080" max="12080" width="15.125" style="573" bestFit="1" customWidth="1"/>
    <col min="12081" max="12081" width="20.125" style="573" bestFit="1" customWidth="1"/>
    <col min="12082" max="12082" width="19.625" style="573" bestFit="1" customWidth="1"/>
    <col min="12083" max="12083" width="10.375" style="573" customWidth="1"/>
    <col min="12084" max="12084" width="13.75" style="573" customWidth="1"/>
    <col min="12085" max="12085" width="17.125" style="573" customWidth="1"/>
    <col min="12086" max="12086" width="13.375" style="573" bestFit="1" customWidth="1"/>
    <col min="12087" max="12290" width="8" style="573"/>
    <col min="12291" max="12291" width="5.875" style="573" customWidth="1"/>
    <col min="12292" max="12292" width="4.75" style="573" customWidth="1"/>
    <col min="12293" max="12293" width="24.375" style="573" customWidth="1"/>
    <col min="12294" max="12294" width="18.125" style="573" customWidth="1"/>
    <col min="12295" max="12298" width="0" style="573" hidden="1" customWidth="1"/>
    <col min="12299" max="12299" width="11.125" style="573" customWidth="1"/>
    <col min="12300" max="12300" width="12.875" style="573" customWidth="1"/>
    <col min="12301" max="12302" width="0" style="573" hidden="1" customWidth="1"/>
    <col min="12303" max="12303" width="11.25" style="573" customWidth="1"/>
    <col min="12304" max="12304" width="12.375" style="573" bestFit="1" customWidth="1"/>
    <col min="12305" max="12306" width="11.25" style="573" customWidth="1"/>
    <col min="12307" max="12307" width="12.375" style="573" bestFit="1" customWidth="1"/>
    <col min="12308" max="12308" width="12.375" style="573" customWidth="1"/>
    <col min="12309" max="12309" width="13.125" style="573" customWidth="1"/>
    <col min="12310" max="12310" width="12.125" style="573" customWidth="1"/>
    <col min="12311" max="12311" width="13" style="573" customWidth="1"/>
    <col min="12312" max="12312" width="12.75" style="573" customWidth="1"/>
    <col min="12313" max="12314" width="9.25" style="573" customWidth="1"/>
    <col min="12315" max="12315" width="14.75" style="573" customWidth="1"/>
    <col min="12316" max="12316" width="8" style="573"/>
    <col min="12317" max="12317" width="16.375" style="573" bestFit="1" customWidth="1"/>
    <col min="12318" max="12321" width="16.25" style="573" bestFit="1" customWidth="1"/>
    <col min="12322" max="12322" width="17.75" style="573" bestFit="1" customWidth="1"/>
    <col min="12323" max="12325" width="16.25" style="573" bestFit="1" customWidth="1"/>
    <col min="12326" max="12326" width="15.125" style="573" bestFit="1" customWidth="1"/>
    <col min="12327" max="12327" width="16.25" style="573" bestFit="1" customWidth="1"/>
    <col min="12328" max="12328" width="19.875" style="573" customWidth="1"/>
    <col min="12329" max="12329" width="20.125" style="573" bestFit="1" customWidth="1"/>
    <col min="12330" max="12331" width="15.125" style="573" bestFit="1" customWidth="1"/>
    <col min="12332" max="12332" width="16.25" style="573" bestFit="1" customWidth="1"/>
    <col min="12333" max="12333" width="20.75" style="573" customWidth="1"/>
    <col min="12334" max="12334" width="16.25" style="573" bestFit="1" customWidth="1"/>
    <col min="12335" max="12335" width="17.375" style="573" bestFit="1" customWidth="1"/>
    <col min="12336" max="12336" width="15.125" style="573" bestFit="1" customWidth="1"/>
    <col min="12337" max="12337" width="20.125" style="573" bestFit="1" customWidth="1"/>
    <col min="12338" max="12338" width="19.625" style="573" bestFit="1" customWidth="1"/>
    <col min="12339" max="12339" width="10.375" style="573" customWidth="1"/>
    <col min="12340" max="12340" width="13.75" style="573" customWidth="1"/>
    <col min="12341" max="12341" width="17.125" style="573" customWidth="1"/>
    <col min="12342" max="12342" width="13.375" style="573" bestFit="1" customWidth="1"/>
    <col min="12343" max="12546" width="8" style="573"/>
    <col min="12547" max="12547" width="5.875" style="573" customWidth="1"/>
    <col min="12548" max="12548" width="4.75" style="573" customWidth="1"/>
    <col min="12549" max="12549" width="24.375" style="573" customWidth="1"/>
    <col min="12550" max="12550" width="18.125" style="573" customWidth="1"/>
    <col min="12551" max="12554" width="0" style="573" hidden="1" customWidth="1"/>
    <col min="12555" max="12555" width="11.125" style="573" customWidth="1"/>
    <col min="12556" max="12556" width="12.875" style="573" customWidth="1"/>
    <col min="12557" max="12558" width="0" style="573" hidden="1" customWidth="1"/>
    <col min="12559" max="12559" width="11.25" style="573" customWidth="1"/>
    <col min="12560" max="12560" width="12.375" style="573" bestFit="1" customWidth="1"/>
    <col min="12561" max="12562" width="11.25" style="573" customWidth="1"/>
    <col min="12563" max="12563" width="12.375" style="573" bestFit="1" customWidth="1"/>
    <col min="12564" max="12564" width="12.375" style="573" customWidth="1"/>
    <col min="12565" max="12565" width="13.125" style="573" customWidth="1"/>
    <col min="12566" max="12566" width="12.125" style="573" customWidth="1"/>
    <col min="12567" max="12567" width="13" style="573" customWidth="1"/>
    <col min="12568" max="12568" width="12.75" style="573" customWidth="1"/>
    <col min="12569" max="12570" width="9.25" style="573" customWidth="1"/>
    <col min="12571" max="12571" width="14.75" style="573" customWidth="1"/>
    <col min="12572" max="12572" width="8" style="573"/>
    <col min="12573" max="12573" width="16.375" style="573" bestFit="1" customWidth="1"/>
    <col min="12574" max="12577" width="16.25" style="573" bestFit="1" customWidth="1"/>
    <col min="12578" max="12578" width="17.75" style="573" bestFit="1" customWidth="1"/>
    <col min="12579" max="12581" width="16.25" style="573" bestFit="1" customWidth="1"/>
    <col min="12582" max="12582" width="15.125" style="573" bestFit="1" customWidth="1"/>
    <col min="12583" max="12583" width="16.25" style="573" bestFit="1" customWidth="1"/>
    <col min="12584" max="12584" width="19.875" style="573" customWidth="1"/>
    <col min="12585" max="12585" width="20.125" style="573" bestFit="1" customWidth="1"/>
    <col min="12586" max="12587" width="15.125" style="573" bestFit="1" customWidth="1"/>
    <col min="12588" max="12588" width="16.25" style="573" bestFit="1" customWidth="1"/>
    <col min="12589" max="12589" width="20.75" style="573" customWidth="1"/>
    <col min="12590" max="12590" width="16.25" style="573" bestFit="1" customWidth="1"/>
    <col min="12591" max="12591" width="17.375" style="573" bestFit="1" customWidth="1"/>
    <col min="12592" max="12592" width="15.125" style="573" bestFit="1" customWidth="1"/>
    <col min="12593" max="12593" width="20.125" style="573" bestFit="1" customWidth="1"/>
    <col min="12594" max="12594" width="19.625" style="573" bestFit="1" customWidth="1"/>
    <col min="12595" max="12595" width="10.375" style="573" customWidth="1"/>
    <col min="12596" max="12596" width="13.75" style="573" customWidth="1"/>
    <col min="12597" max="12597" width="17.125" style="573" customWidth="1"/>
    <col min="12598" max="12598" width="13.375" style="573" bestFit="1" customWidth="1"/>
    <col min="12599" max="12802" width="8" style="573"/>
    <col min="12803" max="12803" width="5.875" style="573" customWidth="1"/>
    <col min="12804" max="12804" width="4.75" style="573" customWidth="1"/>
    <col min="12805" max="12805" width="24.375" style="573" customWidth="1"/>
    <col min="12806" max="12806" width="18.125" style="573" customWidth="1"/>
    <col min="12807" max="12810" width="0" style="573" hidden="1" customWidth="1"/>
    <col min="12811" max="12811" width="11.125" style="573" customWidth="1"/>
    <col min="12812" max="12812" width="12.875" style="573" customWidth="1"/>
    <col min="12813" max="12814" width="0" style="573" hidden="1" customWidth="1"/>
    <col min="12815" max="12815" width="11.25" style="573" customWidth="1"/>
    <col min="12816" max="12816" width="12.375" style="573" bestFit="1" customWidth="1"/>
    <col min="12817" max="12818" width="11.25" style="573" customWidth="1"/>
    <col min="12819" max="12819" width="12.375" style="573" bestFit="1" customWidth="1"/>
    <col min="12820" max="12820" width="12.375" style="573" customWidth="1"/>
    <col min="12821" max="12821" width="13.125" style="573" customWidth="1"/>
    <col min="12822" max="12822" width="12.125" style="573" customWidth="1"/>
    <col min="12823" max="12823" width="13" style="573" customWidth="1"/>
    <col min="12824" max="12824" width="12.75" style="573" customWidth="1"/>
    <col min="12825" max="12826" width="9.25" style="573" customWidth="1"/>
    <col min="12827" max="12827" width="14.75" style="573" customWidth="1"/>
    <col min="12828" max="12828" width="8" style="573"/>
    <col min="12829" max="12829" width="16.375" style="573" bestFit="1" customWidth="1"/>
    <col min="12830" max="12833" width="16.25" style="573" bestFit="1" customWidth="1"/>
    <col min="12834" max="12834" width="17.75" style="573" bestFit="1" customWidth="1"/>
    <col min="12835" max="12837" width="16.25" style="573" bestFit="1" customWidth="1"/>
    <col min="12838" max="12838" width="15.125" style="573" bestFit="1" customWidth="1"/>
    <col min="12839" max="12839" width="16.25" style="573" bestFit="1" customWidth="1"/>
    <col min="12840" max="12840" width="19.875" style="573" customWidth="1"/>
    <col min="12841" max="12841" width="20.125" style="573" bestFit="1" customWidth="1"/>
    <col min="12842" max="12843" width="15.125" style="573" bestFit="1" customWidth="1"/>
    <col min="12844" max="12844" width="16.25" style="573" bestFit="1" customWidth="1"/>
    <col min="12845" max="12845" width="20.75" style="573" customWidth="1"/>
    <col min="12846" max="12846" width="16.25" style="573" bestFit="1" customWidth="1"/>
    <col min="12847" max="12847" width="17.375" style="573" bestFit="1" customWidth="1"/>
    <col min="12848" max="12848" width="15.125" style="573" bestFit="1" customWidth="1"/>
    <col min="12849" max="12849" width="20.125" style="573" bestFit="1" customWidth="1"/>
    <col min="12850" max="12850" width="19.625" style="573" bestFit="1" customWidth="1"/>
    <col min="12851" max="12851" width="10.375" style="573" customWidth="1"/>
    <col min="12852" max="12852" width="13.75" style="573" customWidth="1"/>
    <col min="12853" max="12853" width="17.125" style="573" customWidth="1"/>
    <col min="12854" max="12854" width="13.375" style="573" bestFit="1" customWidth="1"/>
    <col min="12855" max="13058" width="8" style="573"/>
    <col min="13059" max="13059" width="5.875" style="573" customWidth="1"/>
    <col min="13060" max="13060" width="4.75" style="573" customWidth="1"/>
    <col min="13061" max="13061" width="24.375" style="573" customWidth="1"/>
    <col min="13062" max="13062" width="18.125" style="573" customWidth="1"/>
    <col min="13063" max="13066" width="0" style="573" hidden="1" customWidth="1"/>
    <col min="13067" max="13067" width="11.125" style="573" customWidth="1"/>
    <col min="13068" max="13068" width="12.875" style="573" customWidth="1"/>
    <col min="13069" max="13070" width="0" style="573" hidden="1" customWidth="1"/>
    <col min="13071" max="13071" width="11.25" style="573" customWidth="1"/>
    <col min="13072" max="13072" width="12.375" style="573" bestFit="1" customWidth="1"/>
    <col min="13073" max="13074" width="11.25" style="573" customWidth="1"/>
    <col min="13075" max="13075" width="12.375" style="573" bestFit="1" customWidth="1"/>
    <col min="13076" max="13076" width="12.375" style="573" customWidth="1"/>
    <col min="13077" max="13077" width="13.125" style="573" customWidth="1"/>
    <col min="13078" max="13078" width="12.125" style="573" customWidth="1"/>
    <col min="13079" max="13079" width="13" style="573" customWidth="1"/>
    <col min="13080" max="13080" width="12.75" style="573" customWidth="1"/>
    <col min="13081" max="13082" width="9.25" style="573" customWidth="1"/>
    <col min="13083" max="13083" width="14.75" style="573" customWidth="1"/>
    <col min="13084" max="13084" width="8" style="573"/>
    <col min="13085" max="13085" width="16.375" style="573" bestFit="1" customWidth="1"/>
    <col min="13086" max="13089" width="16.25" style="573" bestFit="1" customWidth="1"/>
    <col min="13090" max="13090" width="17.75" style="573" bestFit="1" customWidth="1"/>
    <col min="13091" max="13093" width="16.25" style="573" bestFit="1" customWidth="1"/>
    <col min="13094" max="13094" width="15.125" style="573" bestFit="1" customWidth="1"/>
    <col min="13095" max="13095" width="16.25" style="573" bestFit="1" customWidth="1"/>
    <col min="13096" max="13096" width="19.875" style="573" customWidth="1"/>
    <col min="13097" max="13097" width="20.125" style="573" bestFit="1" customWidth="1"/>
    <col min="13098" max="13099" width="15.125" style="573" bestFit="1" customWidth="1"/>
    <col min="13100" max="13100" width="16.25" style="573" bestFit="1" customWidth="1"/>
    <col min="13101" max="13101" width="20.75" style="573" customWidth="1"/>
    <col min="13102" max="13102" width="16.25" style="573" bestFit="1" customWidth="1"/>
    <col min="13103" max="13103" width="17.375" style="573" bestFit="1" customWidth="1"/>
    <col min="13104" max="13104" width="15.125" style="573" bestFit="1" customWidth="1"/>
    <col min="13105" max="13105" width="20.125" style="573" bestFit="1" customWidth="1"/>
    <col min="13106" max="13106" width="19.625" style="573" bestFit="1" customWidth="1"/>
    <col min="13107" max="13107" width="10.375" style="573" customWidth="1"/>
    <col min="13108" max="13108" width="13.75" style="573" customWidth="1"/>
    <col min="13109" max="13109" width="17.125" style="573" customWidth="1"/>
    <col min="13110" max="13110" width="13.375" style="573" bestFit="1" customWidth="1"/>
    <col min="13111" max="13314" width="8" style="573"/>
    <col min="13315" max="13315" width="5.875" style="573" customWidth="1"/>
    <col min="13316" max="13316" width="4.75" style="573" customWidth="1"/>
    <col min="13317" max="13317" width="24.375" style="573" customWidth="1"/>
    <col min="13318" max="13318" width="18.125" style="573" customWidth="1"/>
    <col min="13319" max="13322" width="0" style="573" hidden="1" customWidth="1"/>
    <col min="13323" max="13323" width="11.125" style="573" customWidth="1"/>
    <col min="13324" max="13324" width="12.875" style="573" customWidth="1"/>
    <col min="13325" max="13326" width="0" style="573" hidden="1" customWidth="1"/>
    <col min="13327" max="13327" width="11.25" style="573" customWidth="1"/>
    <col min="13328" max="13328" width="12.375" style="573" bestFit="1" customWidth="1"/>
    <col min="13329" max="13330" width="11.25" style="573" customWidth="1"/>
    <col min="13331" max="13331" width="12.375" style="573" bestFit="1" customWidth="1"/>
    <col min="13332" max="13332" width="12.375" style="573" customWidth="1"/>
    <col min="13333" max="13333" width="13.125" style="573" customWidth="1"/>
    <col min="13334" max="13334" width="12.125" style="573" customWidth="1"/>
    <col min="13335" max="13335" width="13" style="573" customWidth="1"/>
    <col min="13336" max="13336" width="12.75" style="573" customWidth="1"/>
    <col min="13337" max="13338" width="9.25" style="573" customWidth="1"/>
    <col min="13339" max="13339" width="14.75" style="573" customWidth="1"/>
    <col min="13340" max="13340" width="8" style="573"/>
    <col min="13341" max="13341" width="16.375" style="573" bestFit="1" customWidth="1"/>
    <col min="13342" max="13345" width="16.25" style="573" bestFit="1" customWidth="1"/>
    <col min="13346" max="13346" width="17.75" style="573" bestFit="1" customWidth="1"/>
    <col min="13347" max="13349" width="16.25" style="573" bestFit="1" customWidth="1"/>
    <col min="13350" max="13350" width="15.125" style="573" bestFit="1" customWidth="1"/>
    <col min="13351" max="13351" width="16.25" style="573" bestFit="1" customWidth="1"/>
    <col min="13352" max="13352" width="19.875" style="573" customWidth="1"/>
    <col min="13353" max="13353" width="20.125" style="573" bestFit="1" customWidth="1"/>
    <col min="13354" max="13355" width="15.125" style="573" bestFit="1" customWidth="1"/>
    <col min="13356" max="13356" width="16.25" style="573" bestFit="1" customWidth="1"/>
    <col min="13357" max="13357" width="20.75" style="573" customWidth="1"/>
    <col min="13358" max="13358" width="16.25" style="573" bestFit="1" customWidth="1"/>
    <col min="13359" max="13359" width="17.375" style="573" bestFit="1" customWidth="1"/>
    <col min="13360" max="13360" width="15.125" style="573" bestFit="1" customWidth="1"/>
    <col min="13361" max="13361" width="20.125" style="573" bestFit="1" customWidth="1"/>
    <col min="13362" max="13362" width="19.625" style="573" bestFit="1" customWidth="1"/>
    <col min="13363" max="13363" width="10.375" style="573" customWidth="1"/>
    <col min="13364" max="13364" width="13.75" style="573" customWidth="1"/>
    <col min="13365" max="13365" width="17.125" style="573" customWidth="1"/>
    <col min="13366" max="13366" width="13.375" style="573" bestFit="1" customWidth="1"/>
    <col min="13367" max="13570" width="8" style="573"/>
    <col min="13571" max="13571" width="5.875" style="573" customWidth="1"/>
    <col min="13572" max="13572" width="4.75" style="573" customWidth="1"/>
    <col min="13573" max="13573" width="24.375" style="573" customWidth="1"/>
    <col min="13574" max="13574" width="18.125" style="573" customWidth="1"/>
    <col min="13575" max="13578" width="0" style="573" hidden="1" customWidth="1"/>
    <col min="13579" max="13579" width="11.125" style="573" customWidth="1"/>
    <col min="13580" max="13580" width="12.875" style="573" customWidth="1"/>
    <col min="13581" max="13582" width="0" style="573" hidden="1" customWidth="1"/>
    <col min="13583" max="13583" width="11.25" style="573" customWidth="1"/>
    <col min="13584" max="13584" width="12.375" style="573" bestFit="1" customWidth="1"/>
    <col min="13585" max="13586" width="11.25" style="573" customWidth="1"/>
    <col min="13587" max="13587" width="12.375" style="573" bestFit="1" customWidth="1"/>
    <col min="13588" max="13588" width="12.375" style="573" customWidth="1"/>
    <col min="13589" max="13589" width="13.125" style="573" customWidth="1"/>
    <col min="13590" max="13590" width="12.125" style="573" customWidth="1"/>
    <col min="13591" max="13591" width="13" style="573" customWidth="1"/>
    <col min="13592" max="13592" width="12.75" style="573" customWidth="1"/>
    <col min="13593" max="13594" width="9.25" style="573" customWidth="1"/>
    <col min="13595" max="13595" width="14.75" style="573" customWidth="1"/>
    <col min="13596" max="13596" width="8" style="573"/>
    <col min="13597" max="13597" width="16.375" style="573" bestFit="1" customWidth="1"/>
    <col min="13598" max="13601" width="16.25" style="573" bestFit="1" customWidth="1"/>
    <col min="13602" max="13602" width="17.75" style="573" bestFit="1" customWidth="1"/>
    <col min="13603" max="13605" width="16.25" style="573" bestFit="1" customWidth="1"/>
    <col min="13606" max="13606" width="15.125" style="573" bestFit="1" customWidth="1"/>
    <col min="13607" max="13607" width="16.25" style="573" bestFit="1" customWidth="1"/>
    <col min="13608" max="13608" width="19.875" style="573" customWidth="1"/>
    <col min="13609" max="13609" width="20.125" style="573" bestFit="1" customWidth="1"/>
    <col min="13610" max="13611" width="15.125" style="573" bestFit="1" customWidth="1"/>
    <col min="13612" max="13612" width="16.25" style="573" bestFit="1" customWidth="1"/>
    <col min="13613" max="13613" width="20.75" style="573" customWidth="1"/>
    <col min="13614" max="13614" width="16.25" style="573" bestFit="1" customWidth="1"/>
    <col min="13615" max="13615" width="17.375" style="573" bestFit="1" customWidth="1"/>
    <col min="13616" max="13616" width="15.125" style="573" bestFit="1" customWidth="1"/>
    <col min="13617" max="13617" width="20.125" style="573" bestFit="1" customWidth="1"/>
    <col min="13618" max="13618" width="19.625" style="573" bestFit="1" customWidth="1"/>
    <col min="13619" max="13619" width="10.375" style="573" customWidth="1"/>
    <col min="13620" max="13620" width="13.75" style="573" customWidth="1"/>
    <col min="13621" max="13621" width="17.125" style="573" customWidth="1"/>
    <col min="13622" max="13622" width="13.375" style="573" bestFit="1" customWidth="1"/>
    <col min="13623" max="13826" width="8" style="573"/>
    <col min="13827" max="13827" width="5.875" style="573" customWidth="1"/>
    <col min="13828" max="13828" width="4.75" style="573" customWidth="1"/>
    <col min="13829" max="13829" width="24.375" style="573" customWidth="1"/>
    <col min="13830" max="13830" width="18.125" style="573" customWidth="1"/>
    <col min="13831" max="13834" width="0" style="573" hidden="1" customWidth="1"/>
    <col min="13835" max="13835" width="11.125" style="573" customWidth="1"/>
    <col min="13836" max="13836" width="12.875" style="573" customWidth="1"/>
    <col min="13837" max="13838" width="0" style="573" hidden="1" customWidth="1"/>
    <col min="13839" max="13839" width="11.25" style="573" customWidth="1"/>
    <col min="13840" max="13840" width="12.375" style="573" bestFit="1" customWidth="1"/>
    <col min="13841" max="13842" width="11.25" style="573" customWidth="1"/>
    <col min="13843" max="13843" width="12.375" style="573" bestFit="1" customWidth="1"/>
    <col min="13844" max="13844" width="12.375" style="573" customWidth="1"/>
    <col min="13845" max="13845" width="13.125" style="573" customWidth="1"/>
    <col min="13846" max="13846" width="12.125" style="573" customWidth="1"/>
    <col min="13847" max="13847" width="13" style="573" customWidth="1"/>
    <col min="13848" max="13848" width="12.75" style="573" customWidth="1"/>
    <col min="13849" max="13850" width="9.25" style="573" customWidth="1"/>
    <col min="13851" max="13851" width="14.75" style="573" customWidth="1"/>
    <col min="13852" max="13852" width="8" style="573"/>
    <col min="13853" max="13853" width="16.375" style="573" bestFit="1" customWidth="1"/>
    <col min="13854" max="13857" width="16.25" style="573" bestFit="1" customWidth="1"/>
    <col min="13858" max="13858" width="17.75" style="573" bestFit="1" customWidth="1"/>
    <col min="13859" max="13861" width="16.25" style="573" bestFit="1" customWidth="1"/>
    <col min="13862" max="13862" width="15.125" style="573" bestFit="1" customWidth="1"/>
    <col min="13863" max="13863" width="16.25" style="573" bestFit="1" customWidth="1"/>
    <col min="13864" max="13864" width="19.875" style="573" customWidth="1"/>
    <col min="13865" max="13865" width="20.125" style="573" bestFit="1" customWidth="1"/>
    <col min="13866" max="13867" width="15.125" style="573" bestFit="1" customWidth="1"/>
    <col min="13868" max="13868" width="16.25" style="573" bestFit="1" customWidth="1"/>
    <col min="13869" max="13869" width="20.75" style="573" customWidth="1"/>
    <col min="13870" max="13870" width="16.25" style="573" bestFit="1" customWidth="1"/>
    <col min="13871" max="13871" width="17.375" style="573" bestFit="1" customWidth="1"/>
    <col min="13872" max="13872" width="15.125" style="573" bestFit="1" customWidth="1"/>
    <col min="13873" max="13873" width="20.125" style="573" bestFit="1" customWidth="1"/>
    <col min="13874" max="13874" width="19.625" style="573" bestFit="1" customWidth="1"/>
    <col min="13875" max="13875" width="10.375" style="573" customWidth="1"/>
    <col min="13876" max="13876" width="13.75" style="573" customWidth="1"/>
    <col min="13877" max="13877" width="17.125" style="573" customWidth="1"/>
    <col min="13878" max="13878" width="13.375" style="573" bestFit="1" customWidth="1"/>
    <col min="13879" max="14082" width="8" style="573"/>
    <col min="14083" max="14083" width="5.875" style="573" customWidth="1"/>
    <col min="14084" max="14084" width="4.75" style="573" customWidth="1"/>
    <col min="14085" max="14085" width="24.375" style="573" customWidth="1"/>
    <col min="14086" max="14086" width="18.125" style="573" customWidth="1"/>
    <col min="14087" max="14090" width="0" style="573" hidden="1" customWidth="1"/>
    <col min="14091" max="14091" width="11.125" style="573" customWidth="1"/>
    <col min="14092" max="14092" width="12.875" style="573" customWidth="1"/>
    <col min="14093" max="14094" width="0" style="573" hidden="1" customWidth="1"/>
    <col min="14095" max="14095" width="11.25" style="573" customWidth="1"/>
    <col min="14096" max="14096" width="12.375" style="573" bestFit="1" customWidth="1"/>
    <col min="14097" max="14098" width="11.25" style="573" customWidth="1"/>
    <col min="14099" max="14099" width="12.375" style="573" bestFit="1" customWidth="1"/>
    <col min="14100" max="14100" width="12.375" style="573" customWidth="1"/>
    <col min="14101" max="14101" width="13.125" style="573" customWidth="1"/>
    <col min="14102" max="14102" width="12.125" style="573" customWidth="1"/>
    <col min="14103" max="14103" width="13" style="573" customWidth="1"/>
    <col min="14104" max="14104" width="12.75" style="573" customWidth="1"/>
    <col min="14105" max="14106" width="9.25" style="573" customWidth="1"/>
    <col min="14107" max="14107" width="14.75" style="573" customWidth="1"/>
    <col min="14108" max="14108" width="8" style="573"/>
    <col min="14109" max="14109" width="16.375" style="573" bestFit="1" customWidth="1"/>
    <col min="14110" max="14113" width="16.25" style="573" bestFit="1" customWidth="1"/>
    <col min="14114" max="14114" width="17.75" style="573" bestFit="1" customWidth="1"/>
    <col min="14115" max="14117" width="16.25" style="573" bestFit="1" customWidth="1"/>
    <col min="14118" max="14118" width="15.125" style="573" bestFit="1" customWidth="1"/>
    <col min="14119" max="14119" width="16.25" style="573" bestFit="1" customWidth="1"/>
    <col min="14120" max="14120" width="19.875" style="573" customWidth="1"/>
    <col min="14121" max="14121" width="20.125" style="573" bestFit="1" customWidth="1"/>
    <col min="14122" max="14123" width="15.125" style="573" bestFit="1" customWidth="1"/>
    <col min="14124" max="14124" width="16.25" style="573" bestFit="1" customWidth="1"/>
    <col min="14125" max="14125" width="20.75" style="573" customWidth="1"/>
    <col min="14126" max="14126" width="16.25" style="573" bestFit="1" customWidth="1"/>
    <col min="14127" max="14127" width="17.375" style="573" bestFit="1" customWidth="1"/>
    <col min="14128" max="14128" width="15.125" style="573" bestFit="1" customWidth="1"/>
    <col min="14129" max="14129" width="20.125" style="573" bestFit="1" customWidth="1"/>
    <col min="14130" max="14130" width="19.625" style="573" bestFit="1" customWidth="1"/>
    <col min="14131" max="14131" width="10.375" style="573" customWidth="1"/>
    <col min="14132" max="14132" width="13.75" style="573" customWidth="1"/>
    <col min="14133" max="14133" width="17.125" style="573" customWidth="1"/>
    <col min="14134" max="14134" width="13.375" style="573" bestFit="1" customWidth="1"/>
    <col min="14135" max="14338" width="8" style="573"/>
    <col min="14339" max="14339" width="5.875" style="573" customWidth="1"/>
    <col min="14340" max="14340" width="4.75" style="573" customWidth="1"/>
    <col min="14341" max="14341" width="24.375" style="573" customWidth="1"/>
    <col min="14342" max="14342" width="18.125" style="573" customWidth="1"/>
    <col min="14343" max="14346" width="0" style="573" hidden="1" customWidth="1"/>
    <col min="14347" max="14347" width="11.125" style="573" customWidth="1"/>
    <col min="14348" max="14348" width="12.875" style="573" customWidth="1"/>
    <col min="14349" max="14350" width="0" style="573" hidden="1" customWidth="1"/>
    <col min="14351" max="14351" width="11.25" style="573" customWidth="1"/>
    <col min="14352" max="14352" width="12.375" style="573" bestFit="1" customWidth="1"/>
    <col min="14353" max="14354" width="11.25" style="573" customWidth="1"/>
    <col min="14355" max="14355" width="12.375" style="573" bestFit="1" customWidth="1"/>
    <col min="14356" max="14356" width="12.375" style="573" customWidth="1"/>
    <col min="14357" max="14357" width="13.125" style="573" customWidth="1"/>
    <col min="14358" max="14358" width="12.125" style="573" customWidth="1"/>
    <col min="14359" max="14359" width="13" style="573" customWidth="1"/>
    <col min="14360" max="14360" width="12.75" style="573" customWidth="1"/>
    <col min="14361" max="14362" width="9.25" style="573" customWidth="1"/>
    <col min="14363" max="14363" width="14.75" style="573" customWidth="1"/>
    <col min="14364" max="14364" width="8" style="573"/>
    <col min="14365" max="14365" width="16.375" style="573" bestFit="1" customWidth="1"/>
    <col min="14366" max="14369" width="16.25" style="573" bestFit="1" customWidth="1"/>
    <col min="14370" max="14370" width="17.75" style="573" bestFit="1" customWidth="1"/>
    <col min="14371" max="14373" width="16.25" style="573" bestFit="1" customWidth="1"/>
    <col min="14374" max="14374" width="15.125" style="573" bestFit="1" customWidth="1"/>
    <col min="14375" max="14375" width="16.25" style="573" bestFit="1" customWidth="1"/>
    <col min="14376" max="14376" width="19.875" style="573" customWidth="1"/>
    <col min="14377" max="14377" width="20.125" style="573" bestFit="1" customWidth="1"/>
    <col min="14378" max="14379" width="15.125" style="573" bestFit="1" customWidth="1"/>
    <col min="14380" max="14380" width="16.25" style="573" bestFit="1" customWidth="1"/>
    <col min="14381" max="14381" width="20.75" style="573" customWidth="1"/>
    <col min="14382" max="14382" width="16.25" style="573" bestFit="1" customWidth="1"/>
    <col min="14383" max="14383" width="17.375" style="573" bestFit="1" customWidth="1"/>
    <col min="14384" max="14384" width="15.125" style="573" bestFit="1" customWidth="1"/>
    <col min="14385" max="14385" width="20.125" style="573" bestFit="1" customWidth="1"/>
    <col min="14386" max="14386" width="19.625" style="573" bestFit="1" customWidth="1"/>
    <col min="14387" max="14387" width="10.375" style="573" customWidth="1"/>
    <col min="14388" max="14388" width="13.75" style="573" customWidth="1"/>
    <col min="14389" max="14389" width="17.125" style="573" customWidth="1"/>
    <col min="14390" max="14390" width="13.375" style="573" bestFit="1" customWidth="1"/>
    <col min="14391" max="14594" width="8" style="573"/>
    <col min="14595" max="14595" width="5.875" style="573" customWidth="1"/>
    <col min="14596" max="14596" width="4.75" style="573" customWidth="1"/>
    <col min="14597" max="14597" width="24.375" style="573" customWidth="1"/>
    <col min="14598" max="14598" width="18.125" style="573" customWidth="1"/>
    <col min="14599" max="14602" width="0" style="573" hidden="1" customWidth="1"/>
    <col min="14603" max="14603" width="11.125" style="573" customWidth="1"/>
    <col min="14604" max="14604" width="12.875" style="573" customWidth="1"/>
    <col min="14605" max="14606" width="0" style="573" hidden="1" customWidth="1"/>
    <col min="14607" max="14607" width="11.25" style="573" customWidth="1"/>
    <col min="14608" max="14608" width="12.375" style="573" bestFit="1" customWidth="1"/>
    <col min="14609" max="14610" width="11.25" style="573" customWidth="1"/>
    <col min="14611" max="14611" width="12.375" style="573" bestFit="1" customWidth="1"/>
    <col min="14612" max="14612" width="12.375" style="573" customWidth="1"/>
    <col min="14613" max="14613" width="13.125" style="573" customWidth="1"/>
    <col min="14614" max="14614" width="12.125" style="573" customWidth="1"/>
    <col min="14615" max="14615" width="13" style="573" customWidth="1"/>
    <col min="14616" max="14616" width="12.75" style="573" customWidth="1"/>
    <col min="14617" max="14618" width="9.25" style="573" customWidth="1"/>
    <col min="14619" max="14619" width="14.75" style="573" customWidth="1"/>
    <col min="14620" max="14620" width="8" style="573"/>
    <col min="14621" max="14621" width="16.375" style="573" bestFit="1" customWidth="1"/>
    <col min="14622" max="14625" width="16.25" style="573" bestFit="1" customWidth="1"/>
    <col min="14626" max="14626" width="17.75" style="573" bestFit="1" customWidth="1"/>
    <col min="14627" max="14629" width="16.25" style="573" bestFit="1" customWidth="1"/>
    <col min="14630" max="14630" width="15.125" style="573" bestFit="1" customWidth="1"/>
    <col min="14631" max="14631" width="16.25" style="573" bestFit="1" customWidth="1"/>
    <col min="14632" max="14632" width="19.875" style="573" customWidth="1"/>
    <col min="14633" max="14633" width="20.125" style="573" bestFit="1" customWidth="1"/>
    <col min="14634" max="14635" width="15.125" style="573" bestFit="1" customWidth="1"/>
    <col min="14636" max="14636" width="16.25" style="573" bestFit="1" customWidth="1"/>
    <col min="14637" max="14637" width="20.75" style="573" customWidth="1"/>
    <col min="14638" max="14638" width="16.25" style="573" bestFit="1" customWidth="1"/>
    <col min="14639" max="14639" width="17.375" style="573" bestFit="1" customWidth="1"/>
    <col min="14640" max="14640" width="15.125" style="573" bestFit="1" customWidth="1"/>
    <col min="14641" max="14641" width="20.125" style="573" bestFit="1" customWidth="1"/>
    <col min="14642" max="14642" width="19.625" style="573" bestFit="1" customWidth="1"/>
    <col min="14643" max="14643" width="10.375" style="573" customWidth="1"/>
    <col min="14644" max="14644" width="13.75" style="573" customWidth="1"/>
    <col min="14645" max="14645" width="17.125" style="573" customWidth="1"/>
    <col min="14646" max="14646" width="13.375" style="573" bestFit="1" customWidth="1"/>
    <col min="14647" max="14850" width="8" style="573"/>
    <col min="14851" max="14851" width="5.875" style="573" customWidth="1"/>
    <col min="14852" max="14852" width="4.75" style="573" customWidth="1"/>
    <col min="14853" max="14853" width="24.375" style="573" customWidth="1"/>
    <col min="14854" max="14854" width="18.125" style="573" customWidth="1"/>
    <col min="14855" max="14858" width="0" style="573" hidden="1" customWidth="1"/>
    <col min="14859" max="14859" width="11.125" style="573" customWidth="1"/>
    <col min="14860" max="14860" width="12.875" style="573" customWidth="1"/>
    <col min="14861" max="14862" width="0" style="573" hidden="1" customWidth="1"/>
    <col min="14863" max="14863" width="11.25" style="573" customWidth="1"/>
    <col min="14864" max="14864" width="12.375" style="573" bestFit="1" customWidth="1"/>
    <col min="14865" max="14866" width="11.25" style="573" customWidth="1"/>
    <col min="14867" max="14867" width="12.375" style="573" bestFit="1" customWidth="1"/>
    <col min="14868" max="14868" width="12.375" style="573" customWidth="1"/>
    <col min="14869" max="14869" width="13.125" style="573" customWidth="1"/>
    <col min="14870" max="14870" width="12.125" style="573" customWidth="1"/>
    <col min="14871" max="14871" width="13" style="573" customWidth="1"/>
    <col min="14872" max="14872" width="12.75" style="573" customWidth="1"/>
    <col min="14873" max="14874" width="9.25" style="573" customWidth="1"/>
    <col min="14875" max="14875" width="14.75" style="573" customWidth="1"/>
    <col min="14876" max="14876" width="8" style="573"/>
    <col min="14877" max="14877" width="16.375" style="573" bestFit="1" customWidth="1"/>
    <col min="14878" max="14881" width="16.25" style="573" bestFit="1" customWidth="1"/>
    <col min="14882" max="14882" width="17.75" style="573" bestFit="1" customWidth="1"/>
    <col min="14883" max="14885" width="16.25" style="573" bestFit="1" customWidth="1"/>
    <col min="14886" max="14886" width="15.125" style="573" bestFit="1" customWidth="1"/>
    <col min="14887" max="14887" width="16.25" style="573" bestFit="1" customWidth="1"/>
    <col min="14888" max="14888" width="19.875" style="573" customWidth="1"/>
    <col min="14889" max="14889" width="20.125" style="573" bestFit="1" customWidth="1"/>
    <col min="14890" max="14891" width="15.125" style="573" bestFit="1" customWidth="1"/>
    <col min="14892" max="14892" width="16.25" style="573" bestFit="1" customWidth="1"/>
    <col min="14893" max="14893" width="20.75" style="573" customWidth="1"/>
    <col min="14894" max="14894" width="16.25" style="573" bestFit="1" customWidth="1"/>
    <col min="14895" max="14895" width="17.375" style="573" bestFit="1" customWidth="1"/>
    <col min="14896" max="14896" width="15.125" style="573" bestFit="1" customWidth="1"/>
    <col min="14897" max="14897" width="20.125" style="573" bestFit="1" customWidth="1"/>
    <col min="14898" max="14898" width="19.625" style="573" bestFit="1" customWidth="1"/>
    <col min="14899" max="14899" width="10.375" style="573" customWidth="1"/>
    <col min="14900" max="14900" width="13.75" style="573" customWidth="1"/>
    <col min="14901" max="14901" width="17.125" style="573" customWidth="1"/>
    <col min="14902" max="14902" width="13.375" style="573" bestFit="1" customWidth="1"/>
    <col min="14903" max="15106" width="8" style="573"/>
    <col min="15107" max="15107" width="5.875" style="573" customWidth="1"/>
    <col min="15108" max="15108" width="4.75" style="573" customWidth="1"/>
    <col min="15109" max="15109" width="24.375" style="573" customWidth="1"/>
    <col min="15110" max="15110" width="18.125" style="573" customWidth="1"/>
    <col min="15111" max="15114" width="0" style="573" hidden="1" customWidth="1"/>
    <col min="15115" max="15115" width="11.125" style="573" customWidth="1"/>
    <col min="15116" max="15116" width="12.875" style="573" customWidth="1"/>
    <col min="15117" max="15118" width="0" style="573" hidden="1" customWidth="1"/>
    <col min="15119" max="15119" width="11.25" style="573" customWidth="1"/>
    <col min="15120" max="15120" width="12.375" style="573" bestFit="1" customWidth="1"/>
    <col min="15121" max="15122" width="11.25" style="573" customWidth="1"/>
    <col min="15123" max="15123" width="12.375" style="573" bestFit="1" customWidth="1"/>
    <col min="15124" max="15124" width="12.375" style="573" customWidth="1"/>
    <col min="15125" max="15125" width="13.125" style="573" customWidth="1"/>
    <col min="15126" max="15126" width="12.125" style="573" customWidth="1"/>
    <col min="15127" max="15127" width="13" style="573" customWidth="1"/>
    <col min="15128" max="15128" width="12.75" style="573" customWidth="1"/>
    <col min="15129" max="15130" width="9.25" style="573" customWidth="1"/>
    <col min="15131" max="15131" width="14.75" style="573" customWidth="1"/>
    <col min="15132" max="15132" width="8" style="573"/>
    <col min="15133" max="15133" width="16.375" style="573" bestFit="1" customWidth="1"/>
    <col min="15134" max="15137" width="16.25" style="573" bestFit="1" customWidth="1"/>
    <col min="15138" max="15138" width="17.75" style="573" bestFit="1" customWidth="1"/>
    <col min="15139" max="15141" width="16.25" style="573" bestFit="1" customWidth="1"/>
    <col min="15142" max="15142" width="15.125" style="573" bestFit="1" customWidth="1"/>
    <col min="15143" max="15143" width="16.25" style="573" bestFit="1" customWidth="1"/>
    <col min="15144" max="15144" width="19.875" style="573" customWidth="1"/>
    <col min="15145" max="15145" width="20.125" style="573" bestFit="1" customWidth="1"/>
    <col min="15146" max="15147" width="15.125" style="573" bestFit="1" customWidth="1"/>
    <col min="15148" max="15148" width="16.25" style="573" bestFit="1" customWidth="1"/>
    <col min="15149" max="15149" width="20.75" style="573" customWidth="1"/>
    <col min="15150" max="15150" width="16.25" style="573" bestFit="1" customWidth="1"/>
    <col min="15151" max="15151" width="17.375" style="573" bestFit="1" customWidth="1"/>
    <col min="15152" max="15152" width="15.125" style="573" bestFit="1" customWidth="1"/>
    <col min="15153" max="15153" width="20.125" style="573" bestFit="1" customWidth="1"/>
    <col min="15154" max="15154" width="19.625" style="573" bestFit="1" customWidth="1"/>
    <col min="15155" max="15155" width="10.375" style="573" customWidth="1"/>
    <col min="15156" max="15156" width="13.75" style="573" customWidth="1"/>
    <col min="15157" max="15157" width="17.125" style="573" customWidth="1"/>
    <col min="15158" max="15158" width="13.375" style="573" bestFit="1" customWidth="1"/>
    <col min="15159" max="15362" width="8" style="573"/>
    <col min="15363" max="15363" width="5.875" style="573" customWidth="1"/>
    <col min="15364" max="15364" width="4.75" style="573" customWidth="1"/>
    <col min="15365" max="15365" width="24.375" style="573" customWidth="1"/>
    <col min="15366" max="15366" width="18.125" style="573" customWidth="1"/>
    <col min="15367" max="15370" width="0" style="573" hidden="1" customWidth="1"/>
    <col min="15371" max="15371" width="11.125" style="573" customWidth="1"/>
    <col min="15372" max="15372" width="12.875" style="573" customWidth="1"/>
    <col min="15373" max="15374" width="0" style="573" hidden="1" customWidth="1"/>
    <col min="15375" max="15375" width="11.25" style="573" customWidth="1"/>
    <col min="15376" max="15376" width="12.375" style="573" bestFit="1" customWidth="1"/>
    <col min="15377" max="15378" width="11.25" style="573" customWidth="1"/>
    <col min="15379" max="15379" width="12.375" style="573" bestFit="1" customWidth="1"/>
    <col min="15380" max="15380" width="12.375" style="573" customWidth="1"/>
    <col min="15381" max="15381" width="13.125" style="573" customWidth="1"/>
    <col min="15382" max="15382" width="12.125" style="573" customWidth="1"/>
    <col min="15383" max="15383" width="13" style="573" customWidth="1"/>
    <col min="15384" max="15384" width="12.75" style="573" customWidth="1"/>
    <col min="15385" max="15386" width="9.25" style="573" customWidth="1"/>
    <col min="15387" max="15387" width="14.75" style="573" customWidth="1"/>
    <col min="15388" max="15388" width="8" style="573"/>
    <col min="15389" max="15389" width="16.375" style="573" bestFit="1" customWidth="1"/>
    <col min="15390" max="15393" width="16.25" style="573" bestFit="1" customWidth="1"/>
    <col min="15394" max="15394" width="17.75" style="573" bestFit="1" customWidth="1"/>
    <col min="15395" max="15397" width="16.25" style="573" bestFit="1" customWidth="1"/>
    <col min="15398" max="15398" width="15.125" style="573" bestFit="1" customWidth="1"/>
    <col min="15399" max="15399" width="16.25" style="573" bestFit="1" customWidth="1"/>
    <col min="15400" max="15400" width="19.875" style="573" customWidth="1"/>
    <col min="15401" max="15401" width="20.125" style="573" bestFit="1" customWidth="1"/>
    <col min="15402" max="15403" width="15.125" style="573" bestFit="1" customWidth="1"/>
    <col min="15404" max="15404" width="16.25" style="573" bestFit="1" customWidth="1"/>
    <col min="15405" max="15405" width="20.75" style="573" customWidth="1"/>
    <col min="15406" max="15406" width="16.25" style="573" bestFit="1" customWidth="1"/>
    <col min="15407" max="15407" width="17.375" style="573" bestFit="1" customWidth="1"/>
    <col min="15408" max="15408" width="15.125" style="573" bestFit="1" customWidth="1"/>
    <col min="15409" max="15409" width="20.125" style="573" bestFit="1" customWidth="1"/>
    <col min="15410" max="15410" width="19.625" style="573" bestFit="1" customWidth="1"/>
    <col min="15411" max="15411" width="10.375" style="573" customWidth="1"/>
    <col min="15412" max="15412" width="13.75" style="573" customWidth="1"/>
    <col min="15413" max="15413" width="17.125" style="573" customWidth="1"/>
    <col min="15414" max="15414" width="13.375" style="573" bestFit="1" customWidth="1"/>
    <col min="15415" max="15618" width="8" style="573"/>
    <col min="15619" max="15619" width="5.875" style="573" customWidth="1"/>
    <col min="15620" max="15620" width="4.75" style="573" customWidth="1"/>
    <col min="15621" max="15621" width="24.375" style="573" customWidth="1"/>
    <col min="15622" max="15622" width="18.125" style="573" customWidth="1"/>
    <col min="15623" max="15626" width="0" style="573" hidden="1" customWidth="1"/>
    <col min="15627" max="15627" width="11.125" style="573" customWidth="1"/>
    <col min="15628" max="15628" width="12.875" style="573" customWidth="1"/>
    <col min="15629" max="15630" width="0" style="573" hidden="1" customWidth="1"/>
    <col min="15631" max="15631" width="11.25" style="573" customWidth="1"/>
    <col min="15632" max="15632" width="12.375" style="573" bestFit="1" customWidth="1"/>
    <col min="15633" max="15634" width="11.25" style="573" customWidth="1"/>
    <col min="15635" max="15635" width="12.375" style="573" bestFit="1" customWidth="1"/>
    <col min="15636" max="15636" width="12.375" style="573" customWidth="1"/>
    <col min="15637" max="15637" width="13.125" style="573" customWidth="1"/>
    <col min="15638" max="15638" width="12.125" style="573" customWidth="1"/>
    <col min="15639" max="15639" width="13" style="573" customWidth="1"/>
    <col min="15640" max="15640" width="12.75" style="573" customWidth="1"/>
    <col min="15641" max="15642" width="9.25" style="573" customWidth="1"/>
    <col min="15643" max="15643" width="14.75" style="573" customWidth="1"/>
    <col min="15644" max="15644" width="8" style="573"/>
    <col min="15645" max="15645" width="16.375" style="573" bestFit="1" customWidth="1"/>
    <col min="15646" max="15649" width="16.25" style="573" bestFit="1" customWidth="1"/>
    <col min="15650" max="15650" width="17.75" style="573" bestFit="1" customWidth="1"/>
    <col min="15651" max="15653" width="16.25" style="573" bestFit="1" customWidth="1"/>
    <col min="15654" max="15654" width="15.125" style="573" bestFit="1" customWidth="1"/>
    <col min="15655" max="15655" width="16.25" style="573" bestFit="1" customWidth="1"/>
    <col min="15656" max="15656" width="19.875" style="573" customWidth="1"/>
    <col min="15657" max="15657" width="20.125" style="573" bestFit="1" customWidth="1"/>
    <col min="15658" max="15659" width="15.125" style="573" bestFit="1" customWidth="1"/>
    <col min="15660" max="15660" width="16.25" style="573" bestFit="1" customWidth="1"/>
    <col min="15661" max="15661" width="20.75" style="573" customWidth="1"/>
    <col min="15662" max="15662" width="16.25" style="573" bestFit="1" customWidth="1"/>
    <col min="15663" max="15663" width="17.375" style="573" bestFit="1" customWidth="1"/>
    <col min="15664" max="15664" width="15.125" style="573" bestFit="1" customWidth="1"/>
    <col min="15665" max="15665" width="20.125" style="573" bestFit="1" customWidth="1"/>
    <col min="15666" max="15666" width="19.625" style="573" bestFit="1" customWidth="1"/>
    <col min="15667" max="15667" width="10.375" style="573" customWidth="1"/>
    <col min="15668" max="15668" width="13.75" style="573" customWidth="1"/>
    <col min="15669" max="15669" width="17.125" style="573" customWidth="1"/>
    <col min="15670" max="15670" width="13.375" style="573" bestFit="1" customWidth="1"/>
    <col min="15671" max="15874" width="8" style="573"/>
    <col min="15875" max="15875" width="5.875" style="573" customWidth="1"/>
    <col min="15876" max="15876" width="4.75" style="573" customWidth="1"/>
    <col min="15877" max="15877" width="24.375" style="573" customWidth="1"/>
    <col min="15878" max="15878" width="18.125" style="573" customWidth="1"/>
    <col min="15879" max="15882" width="0" style="573" hidden="1" customWidth="1"/>
    <col min="15883" max="15883" width="11.125" style="573" customWidth="1"/>
    <col min="15884" max="15884" width="12.875" style="573" customWidth="1"/>
    <col min="15885" max="15886" width="0" style="573" hidden="1" customWidth="1"/>
    <col min="15887" max="15887" width="11.25" style="573" customWidth="1"/>
    <col min="15888" max="15888" width="12.375" style="573" bestFit="1" customWidth="1"/>
    <col min="15889" max="15890" width="11.25" style="573" customWidth="1"/>
    <col min="15891" max="15891" width="12.375" style="573" bestFit="1" customWidth="1"/>
    <col min="15892" max="15892" width="12.375" style="573" customWidth="1"/>
    <col min="15893" max="15893" width="13.125" style="573" customWidth="1"/>
    <col min="15894" max="15894" width="12.125" style="573" customWidth="1"/>
    <col min="15895" max="15895" width="13" style="573" customWidth="1"/>
    <col min="15896" max="15896" width="12.75" style="573" customWidth="1"/>
    <col min="15897" max="15898" width="9.25" style="573" customWidth="1"/>
    <col min="15899" max="15899" width="14.75" style="573" customWidth="1"/>
    <col min="15900" max="15900" width="8" style="573"/>
    <col min="15901" max="15901" width="16.375" style="573" bestFit="1" customWidth="1"/>
    <col min="15902" max="15905" width="16.25" style="573" bestFit="1" customWidth="1"/>
    <col min="15906" max="15906" width="17.75" style="573" bestFit="1" customWidth="1"/>
    <col min="15907" max="15909" width="16.25" style="573" bestFit="1" customWidth="1"/>
    <col min="15910" max="15910" width="15.125" style="573" bestFit="1" customWidth="1"/>
    <col min="15911" max="15911" width="16.25" style="573" bestFit="1" customWidth="1"/>
    <col min="15912" max="15912" width="19.875" style="573" customWidth="1"/>
    <col min="15913" max="15913" width="20.125" style="573" bestFit="1" customWidth="1"/>
    <col min="15914" max="15915" width="15.125" style="573" bestFit="1" customWidth="1"/>
    <col min="15916" max="15916" width="16.25" style="573" bestFit="1" customWidth="1"/>
    <col min="15917" max="15917" width="20.75" style="573" customWidth="1"/>
    <col min="15918" max="15918" width="16.25" style="573" bestFit="1" customWidth="1"/>
    <col min="15919" max="15919" width="17.375" style="573" bestFit="1" customWidth="1"/>
    <col min="15920" max="15920" width="15.125" style="573" bestFit="1" customWidth="1"/>
    <col min="15921" max="15921" width="20.125" style="573" bestFit="1" customWidth="1"/>
    <col min="15922" max="15922" width="19.625" style="573" bestFit="1" customWidth="1"/>
    <col min="15923" max="15923" width="10.375" style="573" customWidth="1"/>
    <col min="15924" max="15924" width="13.75" style="573" customWidth="1"/>
    <col min="15925" max="15925" width="17.125" style="573" customWidth="1"/>
    <col min="15926" max="15926" width="13.375" style="573" bestFit="1" customWidth="1"/>
    <col min="15927" max="16130" width="8" style="573"/>
    <col min="16131" max="16131" width="5.875" style="573" customWidth="1"/>
    <col min="16132" max="16132" width="4.75" style="573" customWidth="1"/>
    <col min="16133" max="16133" width="24.375" style="573" customWidth="1"/>
    <col min="16134" max="16134" width="18.125" style="573" customWidth="1"/>
    <col min="16135" max="16138" width="0" style="573" hidden="1" customWidth="1"/>
    <col min="16139" max="16139" width="11.125" style="573" customWidth="1"/>
    <col min="16140" max="16140" width="12.875" style="573" customWidth="1"/>
    <col min="16141" max="16142" width="0" style="573" hidden="1" customWidth="1"/>
    <col min="16143" max="16143" width="11.25" style="573" customWidth="1"/>
    <col min="16144" max="16144" width="12.375" style="573" bestFit="1" customWidth="1"/>
    <col min="16145" max="16146" width="11.25" style="573" customWidth="1"/>
    <col min="16147" max="16147" width="12.375" style="573" bestFit="1" customWidth="1"/>
    <col min="16148" max="16148" width="12.375" style="573" customWidth="1"/>
    <col min="16149" max="16149" width="13.125" style="573" customWidth="1"/>
    <col min="16150" max="16150" width="12.125" style="573" customWidth="1"/>
    <col min="16151" max="16151" width="13" style="573" customWidth="1"/>
    <col min="16152" max="16152" width="12.75" style="573" customWidth="1"/>
    <col min="16153" max="16154" width="9.25" style="573" customWidth="1"/>
    <col min="16155" max="16155" width="14.75" style="573" customWidth="1"/>
    <col min="16156" max="16156" width="8" style="573"/>
    <col min="16157" max="16157" width="16.375" style="573" bestFit="1" customWidth="1"/>
    <col min="16158" max="16161" width="16.25" style="573" bestFit="1" customWidth="1"/>
    <col min="16162" max="16162" width="17.75" style="573" bestFit="1" customWidth="1"/>
    <col min="16163" max="16165" width="16.25" style="573" bestFit="1" customWidth="1"/>
    <col min="16166" max="16166" width="15.125" style="573" bestFit="1" customWidth="1"/>
    <col min="16167" max="16167" width="16.25" style="573" bestFit="1" customWidth="1"/>
    <col min="16168" max="16168" width="19.875" style="573" customWidth="1"/>
    <col min="16169" max="16169" width="20.125" style="573" bestFit="1" customWidth="1"/>
    <col min="16170" max="16171" width="15.125" style="573" bestFit="1" customWidth="1"/>
    <col min="16172" max="16172" width="16.25" style="573" bestFit="1" customWidth="1"/>
    <col min="16173" max="16173" width="20.75" style="573" customWidth="1"/>
    <col min="16174" max="16174" width="16.25" style="573" bestFit="1" customWidth="1"/>
    <col min="16175" max="16175" width="17.375" style="573" bestFit="1" customWidth="1"/>
    <col min="16176" max="16176" width="15.125" style="573" bestFit="1" customWidth="1"/>
    <col min="16177" max="16177" width="20.125" style="573" bestFit="1" customWidth="1"/>
    <col min="16178" max="16178" width="19.625" style="573" bestFit="1" customWidth="1"/>
    <col min="16179" max="16179" width="10.375" style="573" customWidth="1"/>
    <col min="16180" max="16180" width="13.75" style="573" customWidth="1"/>
    <col min="16181" max="16181" width="17.125" style="573" customWidth="1"/>
    <col min="16182" max="16182" width="13.375" style="573" bestFit="1" customWidth="1"/>
    <col min="16183" max="16384" width="8" style="573"/>
  </cols>
  <sheetData>
    <row r="1" spans="1:54" ht="17.25" customHeight="1">
      <c r="A1" s="1962" t="s">
        <v>662</v>
      </c>
      <c r="B1" s="1962"/>
      <c r="C1" s="1962"/>
      <c r="D1" s="1962"/>
      <c r="E1" s="1962"/>
      <c r="F1" s="1962"/>
      <c r="G1" s="1962"/>
      <c r="H1" s="1962"/>
      <c r="I1" s="1962"/>
      <c r="J1" s="1962"/>
      <c r="K1" s="1962"/>
      <c r="L1" s="1962"/>
      <c r="M1" s="1962"/>
      <c r="N1" s="1962"/>
      <c r="O1" s="1962"/>
      <c r="P1" s="1962"/>
      <c r="Q1" s="1962"/>
      <c r="R1" s="1962"/>
      <c r="S1" s="1962"/>
      <c r="T1" s="1962"/>
      <c r="U1" s="1962"/>
      <c r="V1" s="1962"/>
      <c r="W1" s="1962"/>
      <c r="X1" s="1962"/>
      <c r="Y1" s="1962"/>
    </row>
    <row r="2" spans="1:54" ht="24.75" customHeight="1" thickBot="1">
      <c r="A2" s="574"/>
      <c r="B2" s="1963" t="s">
        <v>663</v>
      </c>
      <c r="C2" s="1962"/>
      <c r="D2" s="1962"/>
      <c r="E2" s="1962"/>
      <c r="F2" s="1962"/>
      <c r="G2" s="1962"/>
      <c r="H2" s="1962"/>
      <c r="I2" s="1962"/>
      <c r="J2" s="1962"/>
      <c r="K2" s="1962"/>
      <c r="L2" s="1962"/>
      <c r="M2" s="1962"/>
      <c r="N2" s="1962"/>
      <c r="O2" s="1962"/>
      <c r="P2" s="1962"/>
      <c r="Q2" s="1962"/>
      <c r="R2" s="1962"/>
      <c r="S2" s="1962"/>
      <c r="T2" s="1962"/>
      <c r="U2" s="1962"/>
      <c r="V2" s="1962"/>
      <c r="W2" s="1962"/>
      <c r="X2" s="1962"/>
      <c r="Y2" s="1962"/>
      <c r="Z2" s="573" t="s">
        <v>664</v>
      </c>
    </row>
    <row r="3" spans="1:54" ht="58.5" customHeight="1">
      <c r="A3" s="1964" t="s">
        <v>14</v>
      </c>
      <c r="B3" s="1966" t="s">
        <v>266</v>
      </c>
      <c r="C3" s="1966"/>
      <c r="D3" s="1966"/>
      <c r="E3" s="1966"/>
      <c r="F3" s="1966"/>
      <c r="G3" s="1966"/>
      <c r="H3" s="1966"/>
      <c r="I3" s="1967"/>
      <c r="J3" s="1966" t="s">
        <v>665</v>
      </c>
      <c r="K3" s="1966" t="s">
        <v>666</v>
      </c>
      <c r="L3" s="1966"/>
      <c r="M3" s="1966"/>
      <c r="N3" s="1966"/>
      <c r="O3" s="1966"/>
      <c r="P3" s="1966"/>
      <c r="Q3" s="1966"/>
      <c r="R3" s="1968"/>
      <c r="S3" s="1966" t="s">
        <v>667</v>
      </c>
      <c r="T3" s="1966"/>
      <c r="U3" s="1966"/>
      <c r="V3" s="1966"/>
      <c r="W3" s="1966"/>
      <c r="X3" s="575"/>
      <c r="Y3" s="575" t="s">
        <v>668</v>
      </c>
      <c r="AA3" s="816" t="s">
        <v>156</v>
      </c>
      <c r="AB3" s="816" t="s">
        <v>157</v>
      </c>
      <c r="AC3" s="816" t="s">
        <v>727</v>
      </c>
      <c r="AD3" s="816">
        <v>2</v>
      </c>
      <c r="AE3" s="816">
        <v>3</v>
      </c>
      <c r="AF3" s="816" t="s">
        <v>139</v>
      </c>
      <c r="AG3" s="816" t="s">
        <v>121</v>
      </c>
      <c r="AH3" s="816" t="s">
        <v>148</v>
      </c>
      <c r="AI3" s="816" t="e">
        <f>'Don gia XCSDL DC'!#REF!</f>
        <v>#REF!</v>
      </c>
      <c r="AJ3" s="816" t="s">
        <v>122</v>
      </c>
      <c r="AK3" s="816" t="s">
        <v>141</v>
      </c>
      <c r="AL3" s="816" t="s">
        <v>669</v>
      </c>
      <c r="AM3" s="816" t="s">
        <v>124</v>
      </c>
      <c r="AN3" s="1951" t="s">
        <v>143</v>
      </c>
      <c r="AO3" s="1951"/>
      <c r="AP3" s="1951"/>
      <c r="AQ3" s="1951"/>
      <c r="AR3" s="1951"/>
      <c r="AS3" s="816">
        <v>7</v>
      </c>
      <c r="AT3" s="816">
        <v>8</v>
      </c>
      <c r="AU3" s="816">
        <v>9</v>
      </c>
      <c r="AV3" s="816" t="s">
        <v>150</v>
      </c>
      <c r="AW3" s="1952" t="s">
        <v>35</v>
      </c>
      <c r="AX3" s="1952" t="s">
        <v>670</v>
      </c>
      <c r="AY3" s="816" t="s">
        <v>629</v>
      </c>
      <c r="AZ3" s="816"/>
      <c r="BA3" s="816"/>
      <c r="BB3" s="816"/>
    </row>
    <row r="4" spans="1:54" ht="21.75" customHeight="1">
      <c r="A4" s="1965"/>
      <c r="B4" s="1949"/>
      <c r="C4" s="1949"/>
      <c r="D4" s="1949"/>
      <c r="E4" s="1949"/>
      <c r="F4" s="1949"/>
      <c r="G4" s="1949"/>
      <c r="H4" s="1949"/>
      <c r="I4" s="1955"/>
      <c r="J4" s="1949"/>
      <c r="K4" s="1949" t="s">
        <v>671</v>
      </c>
      <c r="L4" s="1949" t="s">
        <v>672</v>
      </c>
      <c r="M4" s="1959" t="s">
        <v>673</v>
      </c>
      <c r="N4" s="1960"/>
      <c r="O4" s="1960"/>
      <c r="P4" s="1960"/>
      <c r="Q4" s="1961"/>
      <c r="R4" s="1969"/>
      <c r="S4" s="1949" t="s">
        <v>674</v>
      </c>
      <c r="T4" s="1949" t="s">
        <v>675</v>
      </c>
      <c r="U4" s="1971" t="s">
        <v>676</v>
      </c>
      <c r="V4" s="1972"/>
      <c r="W4" s="1949" t="s">
        <v>677</v>
      </c>
      <c r="X4" s="577"/>
      <c r="Y4" s="1955" t="s">
        <v>678</v>
      </c>
      <c r="AA4" s="1951" t="s">
        <v>126</v>
      </c>
      <c r="AB4" s="1951"/>
      <c r="AC4" s="1951"/>
      <c r="AD4" s="816"/>
      <c r="AE4" s="816"/>
      <c r="AF4" s="816"/>
      <c r="AG4" s="816"/>
      <c r="AH4" s="816"/>
      <c r="AI4" s="816"/>
      <c r="AJ4" s="816"/>
      <c r="AK4" s="816"/>
      <c r="AL4" s="816"/>
      <c r="AM4" s="816"/>
      <c r="AN4" s="1951"/>
      <c r="AO4" s="1951"/>
      <c r="AP4" s="1951"/>
      <c r="AQ4" s="1951"/>
      <c r="AR4" s="1951"/>
      <c r="AS4" s="816"/>
      <c r="AT4" s="816"/>
      <c r="AU4" s="816"/>
      <c r="AV4" s="816"/>
      <c r="AW4" s="1953"/>
      <c r="AX4" s="1953"/>
      <c r="AY4" s="816">
        <v>189</v>
      </c>
      <c r="AZ4" s="1951" t="s">
        <v>679</v>
      </c>
      <c r="BA4" s="1951"/>
      <c r="BB4" s="816"/>
    </row>
    <row r="5" spans="1:54" s="576" customFormat="1" ht="65.25" customHeight="1">
      <c r="A5" s="1965"/>
      <c r="B5" s="1949" t="s">
        <v>268</v>
      </c>
      <c r="C5" s="1949" t="s">
        <v>269</v>
      </c>
      <c r="D5" s="578"/>
      <c r="E5" s="1949" t="s">
        <v>267</v>
      </c>
      <c r="F5" s="1949" t="s">
        <v>680</v>
      </c>
      <c r="G5" s="1957" t="s">
        <v>270</v>
      </c>
      <c r="H5" s="1949" t="s">
        <v>271</v>
      </c>
      <c r="I5" s="1956"/>
      <c r="J5" s="1949"/>
      <c r="K5" s="1949"/>
      <c r="L5" s="1949"/>
      <c r="M5" s="579" t="s">
        <v>681</v>
      </c>
      <c r="N5" s="579" t="s">
        <v>682</v>
      </c>
      <c r="O5" s="579" t="s">
        <v>683</v>
      </c>
      <c r="P5" s="574" t="s">
        <v>684</v>
      </c>
      <c r="Q5" s="574" t="s">
        <v>685</v>
      </c>
      <c r="R5" s="1970"/>
      <c r="S5" s="1949"/>
      <c r="T5" s="1949"/>
      <c r="U5" s="580" t="s">
        <v>686</v>
      </c>
      <c r="V5" s="581" t="s">
        <v>687</v>
      </c>
      <c r="W5" s="1949"/>
      <c r="X5" s="582" t="s">
        <v>688</v>
      </c>
      <c r="Y5" s="1956"/>
      <c r="AA5" s="817" t="str">
        <f>'Don gia XCSDL DC'!B8</f>
        <v>Lập kế hoạch thi công chi tiết: xác định thời gian, địa điểm, khối lượng và nhân lực thực hiện của từng bước công việc; lập kế hoạch làm việc với các đơn vị có liên quan đến công tác xây dựng CSDL địa chính trên địa bàn thi công</v>
      </c>
      <c r="AB5" s="817" t="str">
        <f>'Don gia XCSDL DC'!B9</f>
        <v>Chuẩn bị nhân lực, địa điểm làm việc; chuẩn bị vật tư, thiết bị, dụng cụ, phần mềm phục vụ cho công tác xây dựng CSDL địa chính.</v>
      </c>
      <c r="AC5" s="817" t="e">
        <f>'Don gia XCSDL DC'!#REF!</f>
        <v>#REF!</v>
      </c>
      <c r="AD5" s="817" t="s">
        <v>125</v>
      </c>
      <c r="AE5" s="817" t="s">
        <v>136</v>
      </c>
      <c r="AF5" s="817" t="s">
        <v>137</v>
      </c>
      <c r="AG5" s="817" t="s">
        <v>145</v>
      </c>
      <c r="AH5" s="817" t="s">
        <v>146</v>
      </c>
      <c r="AI5" s="817" t="e">
        <f>'Don gia XCSDL DC'!#REF!</f>
        <v>#REF!</v>
      </c>
      <c r="AJ5" s="817" t="s">
        <v>154</v>
      </c>
      <c r="AK5" s="817" t="s">
        <v>152</v>
      </c>
      <c r="AL5" s="817" t="s">
        <v>689</v>
      </c>
      <c r="AM5" s="817" t="s">
        <v>144</v>
      </c>
      <c r="AN5" s="1951" t="s">
        <v>690</v>
      </c>
      <c r="AO5" s="1951"/>
      <c r="AP5" s="1951"/>
      <c r="AQ5" s="1951"/>
      <c r="AR5" s="1951"/>
      <c r="AS5" s="817" t="s">
        <v>127</v>
      </c>
      <c r="AT5" s="817" t="s">
        <v>128</v>
      </c>
      <c r="AU5" s="817" t="s">
        <v>149</v>
      </c>
      <c r="AV5" s="817" t="str">
        <f>'Don gia XCSDL DC'!B37</f>
        <v>Xây dựng siêu dữ liệu địa chính</v>
      </c>
      <c r="AW5" s="1954"/>
      <c r="AX5" s="1954"/>
      <c r="AY5" s="817"/>
      <c r="AZ5" s="817" t="s">
        <v>691</v>
      </c>
      <c r="BA5" s="817" t="s">
        <v>692</v>
      </c>
      <c r="BB5" s="817"/>
    </row>
    <row r="6" spans="1:54" ht="35.25" customHeight="1">
      <c r="A6" s="1965"/>
      <c r="B6" s="1949"/>
      <c r="C6" s="1949"/>
      <c r="D6" s="578"/>
      <c r="E6" s="1949"/>
      <c r="F6" s="1949"/>
      <c r="G6" s="1957"/>
      <c r="H6" s="1949"/>
      <c r="I6" s="579"/>
      <c r="J6" s="583" t="s">
        <v>268</v>
      </c>
      <c r="K6" s="583"/>
      <c r="L6" s="583"/>
      <c r="M6" s="584" t="s">
        <v>693</v>
      </c>
      <c r="N6" s="583" t="s">
        <v>694</v>
      </c>
      <c r="O6" s="583" t="s">
        <v>695</v>
      </c>
      <c r="P6" s="583" t="s">
        <v>696</v>
      </c>
      <c r="Q6" s="583" t="s">
        <v>697</v>
      </c>
      <c r="R6" s="583"/>
      <c r="S6" s="583"/>
      <c r="T6" s="583" t="s">
        <v>698</v>
      </c>
      <c r="U6" s="583" t="s">
        <v>699</v>
      </c>
      <c r="V6" s="583" t="s">
        <v>700</v>
      </c>
      <c r="W6" s="583" t="s">
        <v>268</v>
      </c>
      <c r="X6" s="583"/>
      <c r="Y6" s="583" t="s">
        <v>701</v>
      </c>
      <c r="AA6" s="816"/>
      <c r="AB6" s="816"/>
      <c r="AC6" s="816"/>
      <c r="AD6" s="816"/>
      <c r="AE6" s="816"/>
      <c r="AF6" s="816"/>
      <c r="AG6" s="816"/>
      <c r="AH6" s="816"/>
      <c r="AI6" s="816"/>
      <c r="AJ6" s="816"/>
      <c r="AK6" s="816"/>
      <c r="AL6" s="816"/>
      <c r="AM6" s="816"/>
      <c r="AN6" s="817" t="s">
        <v>702</v>
      </c>
      <c r="AO6" s="817" t="s">
        <v>703</v>
      </c>
      <c r="AP6" s="817" t="s">
        <v>704</v>
      </c>
      <c r="AQ6" s="817" t="s">
        <v>705</v>
      </c>
      <c r="AR6" s="817" t="s">
        <v>706</v>
      </c>
      <c r="AS6" s="816" t="s">
        <v>707</v>
      </c>
      <c r="AT6" s="816"/>
      <c r="AU6" s="816"/>
      <c r="AV6" s="816"/>
      <c r="AW6" s="816"/>
      <c r="AX6" s="816"/>
      <c r="AY6" s="818" t="e">
        <f>AY8/AY4</f>
        <v>#REF!</v>
      </c>
      <c r="AZ6" s="816"/>
      <c r="BA6" s="816" t="s">
        <v>708</v>
      </c>
      <c r="BB6" s="816" t="s">
        <v>709</v>
      </c>
    </row>
    <row r="7" spans="1:54" ht="13.5" customHeight="1">
      <c r="A7" s="585" t="s">
        <v>272</v>
      </c>
      <c r="B7" s="1958" t="s">
        <v>273</v>
      </c>
      <c r="C7" s="1958"/>
      <c r="D7" s="586"/>
      <c r="E7" s="587" t="s">
        <v>274</v>
      </c>
      <c r="F7" s="587" t="s">
        <v>275</v>
      </c>
      <c r="G7" s="587"/>
      <c r="H7" s="587" t="s">
        <v>276</v>
      </c>
      <c r="I7" s="587"/>
      <c r="J7" s="588" t="s">
        <v>710</v>
      </c>
      <c r="K7" s="587" t="s">
        <v>274</v>
      </c>
      <c r="L7" s="587" t="s">
        <v>275</v>
      </c>
      <c r="M7" s="587" t="s">
        <v>711</v>
      </c>
      <c r="N7" s="588" t="s">
        <v>712</v>
      </c>
      <c r="O7" s="587" t="s">
        <v>713</v>
      </c>
      <c r="P7" s="587" t="s">
        <v>714</v>
      </c>
      <c r="Q7" s="587" t="s">
        <v>715</v>
      </c>
      <c r="R7" s="587"/>
      <c r="S7" s="587" t="s">
        <v>716</v>
      </c>
      <c r="T7" s="588" t="s">
        <v>717</v>
      </c>
      <c r="U7" s="587" t="s">
        <v>718</v>
      </c>
      <c r="V7" s="587" t="s">
        <v>718</v>
      </c>
      <c r="W7" s="587" t="s">
        <v>719</v>
      </c>
      <c r="X7" s="587"/>
      <c r="Y7" s="588" t="s">
        <v>720</v>
      </c>
    </row>
    <row r="8" spans="1:54" ht="22.5" customHeight="1">
      <c r="A8" s="589"/>
      <c r="B8" s="1949" t="s">
        <v>277</v>
      </c>
      <c r="C8" s="1949"/>
      <c r="D8" s="578"/>
      <c r="E8" s="590">
        <f>E9+E140+E250</f>
        <v>3232</v>
      </c>
      <c r="F8" s="590">
        <f>F9+F140+F250</f>
        <v>189</v>
      </c>
      <c r="G8" s="444">
        <f>G9+G140+G250</f>
        <v>294</v>
      </c>
      <c r="H8" s="590">
        <f>H9+H140+H250</f>
        <v>351</v>
      </c>
      <c r="I8" s="590"/>
      <c r="J8" s="590">
        <f t="shared" ref="J8:Q8" si="0">J9+J140+J250</f>
        <v>30726503.988205291</v>
      </c>
      <c r="K8" s="590">
        <f t="shared" si="0"/>
        <v>0</v>
      </c>
      <c r="L8" s="590">
        <f t="shared" si="0"/>
        <v>0</v>
      </c>
      <c r="M8" s="590">
        <f t="shared" si="0"/>
        <v>2215830.5493700001</v>
      </c>
      <c r="N8" s="590">
        <f t="shared" si="0"/>
        <v>12556373.113096667</v>
      </c>
      <c r="O8" s="590">
        <f t="shared" si="0"/>
        <v>0</v>
      </c>
      <c r="P8" s="590">
        <f t="shared" si="0"/>
        <v>-2</v>
      </c>
      <c r="Q8" s="590">
        <f t="shared" si="0"/>
        <v>12556373.113096667</v>
      </c>
      <c r="R8" s="590"/>
      <c r="S8" s="590">
        <f>S9+S140+S250</f>
        <v>0</v>
      </c>
      <c r="T8" s="590">
        <f>T9+T140+T250</f>
        <v>0</v>
      </c>
      <c r="U8" s="590">
        <f>U9+U140+U250</f>
        <v>5</v>
      </c>
      <c r="V8" s="590">
        <f>V9+V140+V250</f>
        <v>1</v>
      </c>
      <c r="W8" s="590">
        <f>W9+W140+W250</f>
        <v>0</v>
      </c>
      <c r="X8" s="590"/>
      <c r="Y8" s="590" t="e">
        <f>Y9+Y140+Y250</f>
        <v>#REF!</v>
      </c>
      <c r="AN8" s="573">
        <v>1.2</v>
      </c>
      <c r="AO8" s="573">
        <v>1</v>
      </c>
      <c r="AP8" s="591">
        <f>X11</f>
        <v>0.60437138424032222</v>
      </c>
      <c r="AQ8" s="573">
        <v>0.2</v>
      </c>
      <c r="AR8" s="573">
        <v>0.2</v>
      </c>
      <c r="AW8" s="808" t="e">
        <f t="shared" ref="AW8:AX8" si="1">SUM(AW11:AW341)</f>
        <v>#REF!</v>
      </c>
      <c r="AX8" s="808" t="e">
        <f t="shared" si="1"/>
        <v>#REF!</v>
      </c>
      <c r="AY8" s="808" t="e">
        <f>SUM(AY11:AY341)</f>
        <v>#REF!</v>
      </c>
    </row>
    <row r="9" spans="1:54" ht="19.5" customHeight="1">
      <c r="A9" s="1950" t="s">
        <v>278</v>
      </c>
      <c r="B9" s="1949"/>
      <c r="C9" s="1949"/>
      <c r="D9" s="578"/>
      <c r="E9" s="592">
        <f>E10+E19+E25+E33+E43+E53+E63+E72+E83+E92+E101+E108+E119+E128</f>
        <v>1460</v>
      </c>
      <c r="F9" s="592">
        <f>F10+F19+F25+F33+F43+F53+F63+F72+F83+F92+F101+F108+F119+F128</f>
        <v>74</v>
      </c>
      <c r="G9" s="593">
        <f>G10+G19+G25+G33+G43+G53+G63+G72+G83+G92+G101+G108+G119+G128</f>
        <v>112</v>
      </c>
      <c r="H9" s="592">
        <f>H10+H19+H25+H33+H43+H53+H63+H72+H83+H92+H101+H108+H119+H128</f>
        <v>135</v>
      </c>
      <c r="I9" s="592"/>
      <c r="J9" s="592">
        <f>J10+J19+J25+J33+J43+J53+J63+J72+J83+J92+J101+J108+J119+J128</f>
        <v>15954300.325738624</v>
      </c>
      <c r="K9" s="592"/>
      <c r="L9" s="592"/>
      <c r="M9" s="592"/>
      <c r="N9" s="592"/>
      <c r="O9" s="592"/>
      <c r="P9" s="592"/>
      <c r="Q9" s="592"/>
      <c r="R9" s="592"/>
      <c r="S9" s="592"/>
      <c r="T9" s="592"/>
      <c r="U9" s="277">
        <v>3</v>
      </c>
      <c r="V9" s="592">
        <v>3</v>
      </c>
      <c r="W9" s="592"/>
      <c r="X9" s="592"/>
      <c r="Y9" s="592" t="e">
        <f>Y10+Y19+Y25+Y33+Y43+Y53+Y63+Y72+Y83+#REF!+#REF!+#REF!+#REF!+#REF!</f>
        <v>#REF!</v>
      </c>
      <c r="AW9" s="786" t="e">
        <f>AW8/22000</f>
        <v>#REF!</v>
      </c>
    </row>
    <row r="10" spans="1:54" s="598" customFormat="1" ht="18.75" customHeight="1">
      <c r="A10" s="589">
        <v>1</v>
      </c>
      <c r="B10" s="1945" t="s">
        <v>279</v>
      </c>
      <c r="C10" s="1945"/>
      <c r="D10" s="594"/>
      <c r="E10" s="595">
        <f>SUM(E11:E14)</f>
        <v>53</v>
      </c>
      <c r="F10" s="595">
        <f>SUM(F11:F14)</f>
        <v>4</v>
      </c>
      <c r="G10" s="596">
        <f>SUM(G11:G18)</f>
        <v>8</v>
      </c>
      <c r="H10" s="595">
        <v>13</v>
      </c>
      <c r="I10" s="595"/>
      <c r="J10" s="595">
        <f t="shared" ref="J10:Q10" si="2">SUM(J11:J14)</f>
        <v>557350</v>
      </c>
      <c r="K10" s="595">
        <f t="shared" si="2"/>
        <v>502999</v>
      </c>
      <c r="L10" s="595">
        <f t="shared" si="2"/>
        <v>557033</v>
      </c>
      <c r="M10" s="595">
        <f t="shared" si="2"/>
        <v>55735.000000000007</v>
      </c>
      <c r="N10" s="595">
        <f t="shared" si="2"/>
        <v>501615</v>
      </c>
      <c r="O10" s="595">
        <f t="shared" si="2"/>
        <v>369231</v>
      </c>
      <c r="P10" s="595">
        <f t="shared" si="2"/>
        <v>337606.66666666669</v>
      </c>
      <c r="Q10" s="595">
        <f t="shared" si="2"/>
        <v>132384</v>
      </c>
      <c r="R10" s="595"/>
      <c r="S10" s="595">
        <f>SUM(S11:S14)</f>
        <v>124193</v>
      </c>
      <c r="T10" s="595">
        <f>SUM(T11:T14)</f>
        <v>27868</v>
      </c>
      <c r="U10" s="595">
        <f>SUM(U11:U14)</f>
        <v>3756.3333333333339</v>
      </c>
      <c r="V10" s="595">
        <f>SUM(V11:V14)</f>
        <v>92568.666666666657</v>
      </c>
      <c r="W10" s="597">
        <f>94.7%</f>
        <v>0.94700000000000006</v>
      </c>
      <c r="X10" s="597"/>
      <c r="Y10" s="595">
        <f>SUM(Y11:Y14)</f>
        <v>1490316</v>
      </c>
    </row>
    <row r="11" spans="1:54" ht="20.25" customHeight="1">
      <c r="A11" s="599"/>
      <c r="B11" s="445">
        <v>1</v>
      </c>
      <c r="C11" s="445" t="s">
        <v>280</v>
      </c>
      <c r="D11" s="600">
        <v>10</v>
      </c>
      <c r="E11" s="601">
        <v>10</v>
      </c>
      <c r="F11" s="601">
        <v>1</v>
      </c>
      <c r="G11" s="602">
        <v>1</v>
      </c>
      <c r="H11" s="601"/>
      <c r="I11" s="601"/>
      <c r="J11" s="603">
        <v>84722</v>
      </c>
      <c r="K11" s="604">
        <v>143930</v>
      </c>
      <c r="L11" s="604">
        <v>319844</v>
      </c>
      <c r="M11" s="605">
        <f>J11*10%</f>
        <v>8472.2000000000007</v>
      </c>
      <c r="N11" s="604">
        <f>J11-M11</f>
        <v>76249.8</v>
      </c>
      <c r="O11" s="604">
        <v>56235</v>
      </c>
      <c r="P11" s="604">
        <f>O11-T11-U11</f>
        <v>50845.5</v>
      </c>
      <c r="Q11" s="604">
        <f>N11-O11</f>
        <v>20014.800000000003</v>
      </c>
      <c r="R11" s="604"/>
      <c r="S11" s="606">
        <v>31226</v>
      </c>
      <c r="T11" s="604">
        <v>4236</v>
      </c>
      <c r="U11" s="604">
        <f>21558/4 - T11</f>
        <v>1153.5</v>
      </c>
      <c r="V11" s="604">
        <f>S11-T11-U11</f>
        <v>25836.5</v>
      </c>
      <c r="W11" s="604"/>
      <c r="X11" s="607">
        <f>((V11*37)+(P11*9))/(P11*46)</f>
        <v>0.60437138424032222</v>
      </c>
      <c r="Y11" s="608">
        <f>S11*12</f>
        <v>374712</v>
      </c>
      <c r="AA11" s="609">
        <f>D11*'Don gia XCSDL DC'!$K$8</f>
        <v>4612.6007476761533</v>
      </c>
      <c r="AB11" s="609">
        <f>D11*'Don gia XCSDL DC'!$K$9</f>
        <v>4400.983497676154</v>
      </c>
      <c r="AC11" s="609" t="e">
        <f>D11*'Don gia XCSDL DC'!#REF!</f>
        <v>#REF!</v>
      </c>
      <c r="AD11" s="609">
        <f>D11*'Don gia XCSDL DC'!$K$10</f>
        <v>17721.557538362234</v>
      </c>
      <c r="AE11" s="609">
        <f>J11*'Don gia XCSDL DC'!$K$11</f>
        <v>0</v>
      </c>
      <c r="AF11" s="609" t="e">
        <f>S11*'Don gia XCSDL DC'!#REF!</f>
        <v>#REF!</v>
      </c>
      <c r="AG11" s="609" t="e">
        <f>D11*'Don gia XCSDL DC'!#REF!</f>
        <v>#REF!</v>
      </c>
      <c r="AH11" s="609" t="e">
        <f>J11*'Don gia XCSDL DC'!#REF!</f>
        <v>#REF!</v>
      </c>
      <c r="AI11" s="609" t="e">
        <f>D11*'Don gia XCSDL DC'!#REF!</f>
        <v>#REF!</v>
      </c>
      <c r="AJ11" s="609">
        <f>S11*2*'Don gia XCSDL DC'!$K$24</f>
        <v>534001317.80203795</v>
      </c>
      <c r="AK11" s="609" t="e">
        <f>S11*3*'Don gia XCSDL DC'!#REF!</f>
        <v>#REF!</v>
      </c>
      <c r="AL11" s="609" t="e">
        <f>(S11*2+S11*3)*('Don gia XCSDL DC'!#REF!+'Don gia XCSDL DC'!#REF!+'Don gia XCSDL DC'!#REF!)</f>
        <v>#REF!</v>
      </c>
      <c r="AM11" s="609" t="e">
        <f>O11*'Don gia XCSDL DC'!#REF!*50%</f>
        <v>#REF!</v>
      </c>
      <c r="AN11" s="609" t="e">
        <f>T11*'Don gia XCSDL DC'!#REF!*$AN$8</f>
        <v>#REF!</v>
      </c>
      <c r="AO11" s="609" t="e">
        <f>U11*'Don gia XCSDL DC'!#REF!*1</f>
        <v>#REF!</v>
      </c>
      <c r="AP11" s="609" t="e">
        <f>P11*X11*'Don gia XCSDL DC'!#REF!</f>
        <v>#REF!</v>
      </c>
      <c r="AQ11" s="609" t="e">
        <f>Q11*$AQ$8*'Don gia XCSDL DC'!#REF!</f>
        <v>#REF!</v>
      </c>
      <c r="AR11" s="609" t="e">
        <f>M11*$AR$8*'Don gia XCSDL DC'!#REF!</f>
        <v>#REF!</v>
      </c>
      <c r="AS11" s="609" t="e">
        <f>J11*'Don gia XCSDL DC'!#REF!</f>
        <v>#REF!</v>
      </c>
      <c r="AT11" s="609">
        <f>D11*'Don gia XCSDL DC'!$K$26</f>
        <v>0</v>
      </c>
      <c r="AU11" s="609">
        <f>J11*'Don gia XCSDL DC'!$K$34</f>
        <v>0</v>
      </c>
      <c r="AV11" s="609">
        <f>O11*'Don gia XCSDL DC'!$K$37</f>
        <v>0</v>
      </c>
      <c r="AW11" s="610" t="e">
        <f>SUM(AA11:AV11)</f>
        <v>#REF!</v>
      </c>
      <c r="AX11" s="611" t="e">
        <f>AC11+AD11+AV11+AZ11+BA11</f>
        <v>#REF!</v>
      </c>
      <c r="AY11" s="806" t="e">
        <f>(AX11*100)/AW11</f>
        <v>#REF!</v>
      </c>
      <c r="AZ11" s="612" t="e">
        <f>D11*'Don gia XCSDL DC'!#REF!</f>
        <v>#REF!</v>
      </c>
      <c r="BA11" s="613" t="e">
        <f>(Q11+M11)*'Don gia XCSDL DC'!#REF!</f>
        <v>#REF!</v>
      </c>
      <c r="BB11" s="613"/>
    </row>
    <row r="12" spans="1:54" ht="20.25" customHeight="1">
      <c r="A12" s="599"/>
      <c r="B12" s="445">
        <v>2</v>
      </c>
      <c r="C12" s="445" t="s">
        <v>281</v>
      </c>
      <c r="D12" s="600">
        <v>9</v>
      </c>
      <c r="E12" s="601">
        <v>9</v>
      </c>
      <c r="F12" s="601">
        <v>1</v>
      </c>
      <c r="G12" s="602">
        <v>1</v>
      </c>
      <c r="H12" s="601"/>
      <c r="I12" s="601"/>
      <c r="J12" s="603">
        <v>88323</v>
      </c>
      <c r="K12" s="604">
        <v>121880</v>
      </c>
      <c r="L12" s="614"/>
      <c r="M12" s="605">
        <f>J12*10%</f>
        <v>8832.3000000000011</v>
      </c>
      <c r="N12" s="604">
        <f>J12-M12</f>
        <v>79490.7</v>
      </c>
      <c r="O12" s="604">
        <v>57739</v>
      </c>
      <c r="P12" s="604">
        <f>O12-T12-U12</f>
        <v>52113.75</v>
      </c>
      <c r="Q12" s="604">
        <f>N12-O12</f>
        <v>21751.699999999997</v>
      </c>
      <c r="R12" s="604"/>
      <c r="S12" s="606">
        <v>17706</v>
      </c>
      <c r="T12" s="604">
        <v>4416</v>
      </c>
      <c r="U12" s="604">
        <f>22501/4-T12</f>
        <v>1209.25</v>
      </c>
      <c r="V12" s="604">
        <f>S12-T12-U12</f>
        <v>12080.75</v>
      </c>
      <c r="W12" s="604"/>
      <c r="X12" s="607">
        <f t="shared" ref="X12:X69" si="3">((V12*37)+(P12*9))/(P12*46)</f>
        <v>0.38211208132711366</v>
      </c>
      <c r="Y12" s="608">
        <f>S12*12</f>
        <v>212472</v>
      </c>
      <c r="AA12" s="609">
        <f>D12*'Don gia XCSDL DC'!$K$8</f>
        <v>4151.3406729085382</v>
      </c>
      <c r="AB12" s="609">
        <f>D12*'Don gia XCSDL DC'!$K$9</f>
        <v>3960.8851479085388</v>
      </c>
      <c r="AC12" s="609" t="e">
        <f>D12*'Don gia XCSDL DC'!#REF!</f>
        <v>#REF!</v>
      </c>
      <c r="AD12" s="609">
        <f>D12*'Don gia XCSDL DC'!$K$10</f>
        <v>15949.40178452601</v>
      </c>
      <c r="AE12" s="609">
        <f>J12*'Don gia XCSDL DC'!$K$11</f>
        <v>0</v>
      </c>
      <c r="AF12" s="609" t="e">
        <f>S12*'Don gia XCSDL DC'!#REF!</f>
        <v>#REF!</v>
      </c>
      <c r="AG12" s="609" t="e">
        <f>D12*'Don gia XCSDL DC'!#REF!</f>
        <v>#REF!</v>
      </c>
      <c r="AH12" s="609" t="e">
        <f>J12*'Don gia XCSDL DC'!#REF!</f>
        <v>#REF!</v>
      </c>
      <c r="AI12" s="609" t="e">
        <f>D12*'Don gia XCSDL DC'!#REF!</f>
        <v>#REF!</v>
      </c>
      <c r="AJ12" s="609">
        <f>S12*2*'Don gia XCSDL DC'!$K$24</f>
        <v>302793420.00265431</v>
      </c>
      <c r="AK12" s="609" t="e">
        <f>S12*3*'Don gia XCSDL DC'!#REF!</f>
        <v>#REF!</v>
      </c>
      <c r="AL12" s="609" t="e">
        <f>(S12*2+S12*3)*('Don gia XCSDL DC'!#REF!+'Don gia XCSDL DC'!#REF!+'Don gia XCSDL DC'!#REF!)</f>
        <v>#REF!</v>
      </c>
      <c r="AM12" s="609" t="e">
        <f>O12*'Don gia XCSDL DC'!#REF!*50%</f>
        <v>#REF!</v>
      </c>
      <c r="AN12" s="609" t="e">
        <f>T12*'Don gia XCSDL DC'!#REF!*$AN$8</f>
        <v>#REF!</v>
      </c>
      <c r="AO12" s="609" t="e">
        <f>U12*'Don gia XCSDL DC'!#REF!*1</f>
        <v>#REF!</v>
      </c>
      <c r="AP12" s="609" t="e">
        <f>P12*X12*'Don gia XCSDL DC'!#REF!</f>
        <v>#REF!</v>
      </c>
      <c r="AQ12" s="609" t="e">
        <f>Q12*$AQ$8*'Don gia XCSDL DC'!#REF!</f>
        <v>#REF!</v>
      </c>
      <c r="AR12" s="609" t="e">
        <f>M12*$AR$8*'Don gia XCSDL DC'!#REF!</f>
        <v>#REF!</v>
      </c>
      <c r="AS12" s="609" t="e">
        <f>J12*'Don gia XCSDL DC'!#REF!</f>
        <v>#REF!</v>
      </c>
      <c r="AT12" s="609">
        <f>D12*'Don gia XCSDL DC'!$K$26</f>
        <v>0</v>
      </c>
      <c r="AU12" s="609">
        <f>J12*'Don gia XCSDL DC'!$K$34</f>
        <v>0</v>
      </c>
      <c r="AV12" s="609">
        <f>O12*'Don gia XCSDL DC'!$K$37</f>
        <v>0</v>
      </c>
      <c r="AW12" s="610" t="e">
        <f t="shared" ref="AW12:AW14" si="4">SUM(AA12:AV12)</f>
        <v>#REF!</v>
      </c>
      <c r="AX12" s="611" t="e">
        <f t="shared" ref="AX12:AX14" si="5">AC12+AD12+AV12+AZ12+BA12</f>
        <v>#REF!</v>
      </c>
      <c r="AY12" s="806" t="e">
        <f t="shared" ref="AY12:AY69" si="6">(AX12*100)/AW12</f>
        <v>#REF!</v>
      </c>
      <c r="AZ12" s="612" t="e">
        <f>D12*'Don gia XCSDL DC'!#REF!</f>
        <v>#REF!</v>
      </c>
      <c r="BA12" s="613" t="e">
        <f>(Q12+M12)*'Don gia XCSDL DC'!#REF!</f>
        <v>#REF!</v>
      </c>
    </row>
    <row r="13" spans="1:54" ht="20.25" customHeight="1">
      <c r="A13" s="599"/>
      <c r="B13" s="445">
        <v>3</v>
      </c>
      <c r="C13" s="445" t="s">
        <v>282</v>
      </c>
      <c r="D13" s="600">
        <v>20</v>
      </c>
      <c r="E13" s="601">
        <v>20</v>
      </c>
      <c r="F13" s="601">
        <v>1</v>
      </c>
      <c r="G13" s="602">
        <v>1</v>
      </c>
      <c r="H13" s="601"/>
      <c r="I13" s="601"/>
      <c r="J13" s="603">
        <v>216091</v>
      </c>
      <c r="K13" s="604">
        <v>102400</v>
      </c>
      <c r="L13" s="604">
        <v>102400</v>
      </c>
      <c r="M13" s="605">
        <f>J13*10%</f>
        <v>21609.100000000002</v>
      </c>
      <c r="N13" s="604">
        <f>J13-M13</f>
        <v>194481.9</v>
      </c>
      <c r="O13" s="604">
        <v>141640</v>
      </c>
      <c r="P13" s="604">
        <f>O13-T13-U13</f>
        <v>129461.75</v>
      </c>
      <c r="Q13" s="604">
        <f>N13-O13</f>
        <v>52841.899999999994</v>
      </c>
      <c r="R13" s="604"/>
      <c r="S13" s="606">
        <v>37780</v>
      </c>
      <c r="T13" s="604">
        <v>10805</v>
      </c>
      <c r="U13" s="604">
        <f>48713/4-T13</f>
        <v>1373.25</v>
      </c>
      <c r="V13" s="604">
        <f>S13-T13-U13</f>
        <v>25601.75</v>
      </c>
      <c r="W13" s="604"/>
      <c r="X13" s="607">
        <f t="shared" si="3"/>
        <v>0.35471623690092785</v>
      </c>
      <c r="Y13" s="608">
        <f>S13*12</f>
        <v>453360</v>
      </c>
      <c r="AA13" s="609">
        <f>D13*'Don gia XCSDL DC'!$K$8</f>
        <v>9225.2014953523067</v>
      </c>
      <c r="AB13" s="609">
        <f>D13*'Don gia XCSDL DC'!$K$9</f>
        <v>8801.966995352308</v>
      </c>
      <c r="AC13" s="609" t="e">
        <f>D13*'Don gia XCSDL DC'!#REF!</f>
        <v>#REF!</v>
      </c>
      <c r="AD13" s="609">
        <f>D13*'Don gia XCSDL DC'!$K$10</f>
        <v>35443.115076724469</v>
      </c>
      <c r="AE13" s="609">
        <f>J13*'Don gia XCSDL DC'!$K$11</f>
        <v>0</v>
      </c>
      <c r="AF13" s="609" t="e">
        <f>S13*'Don gia XCSDL DC'!#REF!</f>
        <v>#REF!</v>
      </c>
      <c r="AG13" s="609" t="e">
        <f>D13*'Don gia XCSDL DC'!#REF!</f>
        <v>#REF!</v>
      </c>
      <c r="AH13" s="609" t="e">
        <f>J13*'Don gia XCSDL DC'!#REF!</f>
        <v>#REF!</v>
      </c>
      <c r="AI13" s="609" t="e">
        <f>D13*'Don gia XCSDL DC'!#REF!</f>
        <v>#REF!</v>
      </c>
      <c r="AJ13" s="609">
        <f>S13*2*'Don gia XCSDL DC'!$K$24</f>
        <v>646082424.47194624</v>
      </c>
      <c r="AK13" s="609" t="e">
        <f>S13*3*'Don gia XCSDL DC'!#REF!</f>
        <v>#REF!</v>
      </c>
      <c r="AL13" s="609" t="e">
        <f>(S13*2+S13*3)*('Don gia XCSDL DC'!#REF!+'Don gia XCSDL DC'!#REF!+'Don gia XCSDL DC'!#REF!)</f>
        <v>#REF!</v>
      </c>
      <c r="AM13" s="609" t="e">
        <f>O13*'Don gia XCSDL DC'!#REF!*50%</f>
        <v>#REF!</v>
      </c>
      <c r="AN13" s="609" t="e">
        <f>T13*'Don gia XCSDL DC'!#REF!*$AN$8</f>
        <v>#REF!</v>
      </c>
      <c r="AO13" s="609" t="e">
        <f>U13*'Don gia XCSDL DC'!#REF!*1</f>
        <v>#REF!</v>
      </c>
      <c r="AP13" s="609" t="e">
        <f>P13*X13*'Don gia XCSDL DC'!#REF!</f>
        <v>#REF!</v>
      </c>
      <c r="AQ13" s="609" t="e">
        <f>Q13*$AQ$8*'Don gia XCSDL DC'!#REF!</f>
        <v>#REF!</v>
      </c>
      <c r="AR13" s="609" t="e">
        <f>M13*$AR$8*'Don gia XCSDL DC'!#REF!</f>
        <v>#REF!</v>
      </c>
      <c r="AS13" s="609" t="e">
        <f>J13*'Don gia XCSDL DC'!#REF!</f>
        <v>#REF!</v>
      </c>
      <c r="AT13" s="609">
        <f>D13*'Don gia XCSDL DC'!$K$26</f>
        <v>0</v>
      </c>
      <c r="AU13" s="609">
        <f>J13*'Don gia XCSDL DC'!$K$34</f>
        <v>0</v>
      </c>
      <c r="AV13" s="609">
        <f>O13*'Don gia XCSDL DC'!$K$37</f>
        <v>0</v>
      </c>
      <c r="AW13" s="610" t="e">
        <f t="shared" si="4"/>
        <v>#REF!</v>
      </c>
      <c r="AX13" s="611" t="e">
        <f t="shared" si="5"/>
        <v>#REF!</v>
      </c>
      <c r="AY13" s="806" t="e">
        <f t="shared" si="6"/>
        <v>#REF!</v>
      </c>
      <c r="AZ13" s="612" t="e">
        <f>D13*'Don gia XCSDL DC'!#REF!</f>
        <v>#REF!</v>
      </c>
      <c r="BA13" s="613" t="e">
        <f>(Q13+M13)*'Don gia XCSDL DC'!#REF!</f>
        <v>#REF!</v>
      </c>
    </row>
    <row r="14" spans="1:54" ht="20.25" customHeight="1">
      <c r="A14" s="599"/>
      <c r="B14" s="445">
        <v>4</v>
      </c>
      <c r="C14" s="445" t="s">
        <v>283</v>
      </c>
      <c r="D14" s="600">
        <v>14</v>
      </c>
      <c r="E14" s="601">
        <v>14</v>
      </c>
      <c r="F14" s="601">
        <v>1</v>
      </c>
      <c r="G14" s="602">
        <v>1</v>
      </c>
      <c r="H14" s="601"/>
      <c r="I14" s="601"/>
      <c r="J14" s="603">
        <v>168214</v>
      </c>
      <c r="K14" s="604">
        <v>134789</v>
      </c>
      <c r="L14" s="604">
        <v>134789</v>
      </c>
      <c r="M14" s="605">
        <f>J14*10%</f>
        <v>16821.400000000001</v>
      </c>
      <c r="N14" s="604">
        <f>J14-M14</f>
        <v>151392.6</v>
      </c>
      <c r="O14" s="604">
        <v>113617</v>
      </c>
      <c r="P14" s="604">
        <f>O14-T14-U14</f>
        <v>105185.66666666667</v>
      </c>
      <c r="Q14" s="604">
        <f>N14-O14</f>
        <v>37775.600000000006</v>
      </c>
      <c r="R14" s="604"/>
      <c r="S14" s="606">
        <v>37481</v>
      </c>
      <c r="T14" s="604">
        <v>8411</v>
      </c>
      <c r="U14" s="604">
        <f>25294/3-T14</f>
        <v>20.33333333333394</v>
      </c>
      <c r="V14" s="604">
        <f>S14-T14-U14</f>
        <v>29049.666666666664</v>
      </c>
      <c r="W14" s="604"/>
      <c r="X14" s="607">
        <f t="shared" si="3"/>
        <v>0.41779305082482854</v>
      </c>
      <c r="Y14" s="608">
        <f>S14*12</f>
        <v>449772</v>
      </c>
      <c r="AA14" s="609">
        <f>D14*'Don gia XCSDL DC'!$K$8</f>
        <v>6457.6410467466158</v>
      </c>
      <c r="AB14" s="609">
        <f>D14*'Don gia XCSDL DC'!$K$9</f>
        <v>6161.3768967466167</v>
      </c>
      <c r="AC14" s="609" t="e">
        <f>D14*'Don gia XCSDL DC'!#REF!</f>
        <v>#REF!</v>
      </c>
      <c r="AD14" s="609">
        <f>D14*'Don gia XCSDL DC'!$K$10</f>
        <v>24810.180553707127</v>
      </c>
      <c r="AE14" s="609">
        <f>J14*'Don gia XCSDL DC'!$K$11</f>
        <v>0</v>
      </c>
      <c r="AF14" s="609" t="e">
        <f>S14*'Don gia XCSDL DC'!#REF!</f>
        <v>#REF!</v>
      </c>
      <c r="AG14" s="609" t="e">
        <f>D14*'Don gia XCSDL DC'!#REF!</f>
        <v>#REF!</v>
      </c>
      <c r="AH14" s="609" t="e">
        <f>J14*'Don gia XCSDL DC'!#REF!</f>
        <v>#REF!</v>
      </c>
      <c r="AI14" s="609" t="e">
        <f>D14*'Don gia XCSDL DC'!#REF!</f>
        <v>#REF!</v>
      </c>
      <c r="AJ14" s="609">
        <f>S14*2*'Don gia XCSDL DC'!$K$24</f>
        <v>640969172.88599837</v>
      </c>
      <c r="AK14" s="609" t="e">
        <f>S14*3*'Don gia XCSDL DC'!#REF!</f>
        <v>#REF!</v>
      </c>
      <c r="AL14" s="609" t="e">
        <f>(S14*2+S14*3)*('Don gia XCSDL DC'!#REF!+'Don gia XCSDL DC'!#REF!+'Don gia XCSDL DC'!#REF!)</f>
        <v>#REF!</v>
      </c>
      <c r="AM14" s="609" t="e">
        <f>O14*'Don gia XCSDL DC'!#REF!*50%</f>
        <v>#REF!</v>
      </c>
      <c r="AN14" s="609" t="e">
        <f>T14*'Don gia XCSDL DC'!#REF!*$AN$8</f>
        <v>#REF!</v>
      </c>
      <c r="AO14" s="609" t="e">
        <f>U14*'Don gia XCSDL DC'!#REF!*1</f>
        <v>#REF!</v>
      </c>
      <c r="AP14" s="609" t="e">
        <f>P14*X14*'Don gia XCSDL DC'!#REF!</f>
        <v>#REF!</v>
      </c>
      <c r="AQ14" s="609" t="e">
        <f>Q14*$AQ$8*'Don gia XCSDL DC'!#REF!</f>
        <v>#REF!</v>
      </c>
      <c r="AR14" s="609" t="e">
        <f>M14*$AR$8*'Don gia XCSDL DC'!#REF!</f>
        <v>#REF!</v>
      </c>
      <c r="AS14" s="609" t="e">
        <f>J14*'Don gia XCSDL DC'!#REF!</f>
        <v>#REF!</v>
      </c>
      <c r="AT14" s="609">
        <f>D14*'Don gia XCSDL DC'!$K$26</f>
        <v>0</v>
      </c>
      <c r="AU14" s="609">
        <f>J14*'Don gia XCSDL DC'!$K$34</f>
        <v>0</v>
      </c>
      <c r="AV14" s="609">
        <f>O14*'Don gia XCSDL DC'!$K$37</f>
        <v>0</v>
      </c>
      <c r="AW14" s="610" t="e">
        <f t="shared" si="4"/>
        <v>#REF!</v>
      </c>
      <c r="AX14" s="611" t="e">
        <f t="shared" si="5"/>
        <v>#REF!</v>
      </c>
      <c r="AY14" s="806" t="e">
        <f t="shared" si="6"/>
        <v>#REF!</v>
      </c>
      <c r="AZ14" s="612" t="e">
        <f>D14*'Don gia XCSDL DC'!#REF!</f>
        <v>#REF!</v>
      </c>
      <c r="BA14" s="613" t="e">
        <f>(Q14+M14)*'Don gia XCSDL DC'!#REF!</f>
        <v>#REF!</v>
      </c>
    </row>
    <row r="15" spans="1:54" s="723" customFormat="1" ht="20.25" customHeight="1">
      <c r="A15" s="712"/>
      <c r="B15" s="713"/>
      <c r="C15" s="713" t="s">
        <v>284</v>
      </c>
      <c r="D15" s="714">
        <v>14</v>
      </c>
      <c r="E15" s="715">
        <v>14</v>
      </c>
      <c r="F15" s="716"/>
      <c r="G15" s="715">
        <v>1</v>
      </c>
      <c r="H15" s="715"/>
      <c r="I15" s="715"/>
      <c r="J15" s="717">
        <v>143930</v>
      </c>
      <c r="K15" s="718"/>
      <c r="L15" s="718"/>
      <c r="M15" s="719"/>
      <c r="N15" s="718"/>
      <c r="O15" s="718"/>
      <c r="P15" s="718"/>
      <c r="Q15" s="718"/>
      <c r="R15" s="718"/>
      <c r="S15" s="720"/>
      <c r="T15" s="718"/>
      <c r="U15" s="718"/>
      <c r="V15" s="718"/>
      <c r="W15" s="718"/>
      <c r="X15" s="721"/>
      <c r="Y15" s="722"/>
      <c r="AA15" s="609"/>
      <c r="AB15" s="609"/>
      <c r="AC15" s="609"/>
      <c r="AD15" s="724"/>
      <c r="AE15" s="724"/>
      <c r="AF15" s="724"/>
      <c r="AG15" s="724"/>
      <c r="AH15" s="724"/>
      <c r="AI15" s="724"/>
      <c r="AJ15" s="724"/>
      <c r="AK15" s="724"/>
      <c r="AL15" s="724"/>
      <c r="AM15" s="724"/>
      <c r="AN15" s="724"/>
      <c r="AO15" s="724"/>
      <c r="AP15" s="724"/>
      <c r="AQ15" s="724"/>
      <c r="AR15" s="724"/>
      <c r="AS15" s="724"/>
      <c r="AT15" s="724"/>
      <c r="AU15" s="724"/>
      <c r="AV15" s="609"/>
      <c r="AW15" s="610"/>
      <c r="AX15" s="611"/>
      <c r="AY15" s="807"/>
      <c r="AZ15" s="612"/>
      <c r="BA15" s="613"/>
    </row>
    <row r="16" spans="1:54" s="723" customFormat="1" ht="20.25" customHeight="1">
      <c r="A16" s="712"/>
      <c r="B16" s="713"/>
      <c r="C16" s="713" t="s">
        <v>285</v>
      </c>
      <c r="D16" s="714">
        <v>17</v>
      </c>
      <c r="E16" s="715">
        <v>17</v>
      </c>
      <c r="F16" s="716"/>
      <c r="G16" s="715">
        <v>1</v>
      </c>
      <c r="H16" s="715"/>
      <c r="I16" s="715"/>
      <c r="J16" s="717">
        <v>121880</v>
      </c>
      <c r="K16" s="718"/>
      <c r="L16" s="718"/>
      <c r="M16" s="719"/>
      <c r="N16" s="718"/>
      <c r="O16" s="718"/>
      <c r="P16" s="718"/>
      <c r="Q16" s="718"/>
      <c r="R16" s="718"/>
      <c r="S16" s="720"/>
      <c r="T16" s="718"/>
      <c r="U16" s="718"/>
      <c r="V16" s="718"/>
      <c r="W16" s="718"/>
      <c r="X16" s="721"/>
      <c r="Y16" s="722"/>
      <c r="AA16" s="609"/>
      <c r="AB16" s="609"/>
      <c r="AC16" s="609"/>
      <c r="AD16" s="724"/>
      <c r="AE16" s="724"/>
      <c r="AF16" s="724"/>
      <c r="AG16" s="724"/>
      <c r="AH16" s="724"/>
      <c r="AI16" s="724"/>
      <c r="AJ16" s="724"/>
      <c r="AK16" s="724"/>
      <c r="AL16" s="724"/>
      <c r="AM16" s="724"/>
      <c r="AN16" s="724"/>
      <c r="AO16" s="724"/>
      <c r="AP16" s="724"/>
      <c r="AQ16" s="724"/>
      <c r="AR16" s="724"/>
      <c r="AS16" s="724"/>
      <c r="AT16" s="724"/>
      <c r="AU16" s="724"/>
      <c r="AV16" s="609"/>
      <c r="AW16" s="610"/>
      <c r="AX16" s="611"/>
      <c r="AY16" s="807"/>
      <c r="AZ16" s="612"/>
      <c r="BA16" s="613"/>
    </row>
    <row r="17" spans="1:53" s="723" customFormat="1" ht="20.25" customHeight="1">
      <c r="A17" s="712"/>
      <c r="B17" s="713"/>
      <c r="C17" s="713" t="s">
        <v>286</v>
      </c>
      <c r="D17" s="714">
        <v>19</v>
      </c>
      <c r="E17" s="715">
        <v>19</v>
      </c>
      <c r="F17" s="716"/>
      <c r="G17" s="715">
        <v>1</v>
      </c>
      <c r="H17" s="715"/>
      <c r="I17" s="715"/>
      <c r="J17" s="717">
        <v>134789</v>
      </c>
      <c r="K17" s="718"/>
      <c r="L17" s="718"/>
      <c r="M17" s="719"/>
      <c r="N17" s="718"/>
      <c r="O17" s="718"/>
      <c r="P17" s="718"/>
      <c r="Q17" s="718"/>
      <c r="R17" s="718"/>
      <c r="S17" s="720"/>
      <c r="T17" s="718"/>
      <c r="U17" s="718"/>
      <c r="V17" s="718"/>
      <c r="W17" s="718"/>
      <c r="X17" s="721"/>
      <c r="Y17" s="722"/>
      <c r="AA17" s="609"/>
      <c r="AB17" s="609"/>
      <c r="AC17" s="609"/>
      <c r="AD17" s="724"/>
      <c r="AE17" s="724"/>
      <c r="AF17" s="724"/>
      <c r="AG17" s="724"/>
      <c r="AH17" s="724"/>
      <c r="AI17" s="724"/>
      <c r="AJ17" s="724"/>
      <c r="AK17" s="724"/>
      <c r="AL17" s="724"/>
      <c r="AM17" s="724"/>
      <c r="AN17" s="724"/>
      <c r="AO17" s="724"/>
      <c r="AP17" s="724"/>
      <c r="AQ17" s="724"/>
      <c r="AR17" s="724"/>
      <c r="AS17" s="724"/>
      <c r="AT17" s="724"/>
      <c r="AU17" s="724"/>
      <c r="AV17" s="609"/>
      <c r="AW17" s="610"/>
      <c r="AX17" s="611"/>
      <c r="AY17" s="807"/>
      <c r="AZ17" s="612"/>
      <c r="BA17" s="613"/>
    </row>
    <row r="18" spans="1:53" s="723" customFormat="1" ht="20.25" customHeight="1">
      <c r="A18" s="712"/>
      <c r="B18" s="713"/>
      <c r="C18" s="713" t="s">
        <v>287</v>
      </c>
      <c r="D18" s="714">
        <v>11</v>
      </c>
      <c r="E18" s="715">
        <v>11</v>
      </c>
      <c r="F18" s="715"/>
      <c r="G18" s="715">
        <v>1</v>
      </c>
      <c r="H18" s="715"/>
      <c r="I18" s="715"/>
      <c r="J18" s="717">
        <v>61212</v>
      </c>
      <c r="K18" s="716"/>
      <c r="L18" s="729">
        <v>85000</v>
      </c>
      <c r="M18" s="719"/>
      <c r="N18" s="718"/>
      <c r="O18" s="718"/>
      <c r="P18" s="718"/>
      <c r="Q18" s="718"/>
      <c r="R18" s="718"/>
      <c r="S18" s="718"/>
      <c r="T18" s="718"/>
      <c r="U18" s="730"/>
      <c r="V18" s="718"/>
      <c r="W18" s="718"/>
      <c r="X18" s="721"/>
      <c r="Y18" s="722"/>
      <c r="AA18" s="609"/>
      <c r="AB18" s="609"/>
      <c r="AC18" s="609"/>
      <c r="AD18" s="724"/>
      <c r="AE18" s="724"/>
      <c r="AF18" s="724"/>
      <c r="AG18" s="724"/>
      <c r="AH18" s="724"/>
      <c r="AI18" s="724"/>
      <c r="AJ18" s="724"/>
      <c r="AK18" s="724"/>
      <c r="AL18" s="724"/>
      <c r="AM18" s="724"/>
      <c r="AN18" s="724"/>
      <c r="AO18" s="724"/>
      <c r="AP18" s="724"/>
      <c r="AQ18" s="724"/>
      <c r="AR18" s="724"/>
      <c r="AS18" s="724"/>
      <c r="AT18" s="724"/>
      <c r="AU18" s="724"/>
      <c r="AV18" s="609"/>
      <c r="AW18" s="610"/>
      <c r="AX18" s="611"/>
      <c r="AY18" s="807"/>
      <c r="AZ18" s="612"/>
      <c r="BA18" s="613"/>
    </row>
    <row r="19" spans="1:53" s="598" customFormat="1" ht="20.25" customHeight="1">
      <c r="A19" s="589">
        <v>2</v>
      </c>
      <c r="B19" s="1945" t="s">
        <v>288</v>
      </c>
      <c r="C19" s="1945"/>
      <c r="D19" s="594"/>
      <c r="E19" s="595">
        <f>SUM(E20:E23)</f>
        <v>74</v>
      </c>
      <c r="F19" s="595">
        <f>SUM(F20:F23)</f>
        <v>4</v>
      </c>
      <c r="G19" s="596">
        <f>SUM(G20:G24)</f>
        <v>5</v>
      </c>
      <c r="H19" s="595">
        <v>11</v>
      </c>
      <c r="I19" s="595"/>
      <c r="J19" s="595">
        <f t="shared" ref="J19:Q19" si="7">SUM(J20:J23)</f>
        <v>1124106</v>
      </c>
      <c r="K19" s="595">
        <f t="shared" si="7"/>
        <v>824106</v>
      </c>
      <c r="L19" s="595">
        <f t="shared" si="7"/>
        <v>1124106</v>
      </c>
      <c r="M19" s="595">
        <f t="shared" si="7"/>
        <v>112410.6</v>
      </c>
      <c r="N19" s="595">
        <f t="shared" si="7"/>
        <v>1011695.4</v>
      </c>
      <c r="O19" s="595">
        <f t="shared" si="7"/>
        <v>880174.99799999991</v>
      </c>
      <c r="P19" s="595">
        <f t="shared" si="7"/>
        <v>842497.19799999986</v>
      </c>
      <c r="Q19" s="595">
        <f t="shared" si="7"/>
        <v>131520.402</v>
      </c>
      <c r="R19" s="595"/>
      <c r="S19" s="595">
        <f>SUM(S20:S23)</f>
        <v>198309</v>
      </c>
      <c r="T19" s="595">
        <f>SUM(T20:T23)</f>
        <v>10083.450000000001</v>
      </c>
      <c r="U19" s="595">
        <f>SUM(U20:U23)</f>
        <v>27594.35</v>
      </c>
      <c r="V19" s="595">
        <f>SUM(V20:V23)</f>
        <v>160631.20000000001</v>
      </c>
      <c r="W19" s="597">
        <f>87%</f>
        <v>0.87</v>
      </c>
      <c r="X19" s="607">
        <f t="shared" si="3"/>
        <v>0.34900978368130664</v>
      </c>
      <c r="Y19" s="595">
        <f>SUM(Y20:Y23)</f>
        <v>2379708</v>
      </c>
      <c r="AA19" s="609"/>
      <c r="AB19" s="609"/>
      <c r="AC19" s="609"/>
      <c r="AD19" s="609"/>
      <c r="AE19" s="609"/>
      <c r="AF19" s="609"/>
      <c r="AG19" s="609"/>
      <c r="AH19" s="609"/>
      <c r="AI19" s="609"/>
      <c r="AJ19" s="609"/>
      <c r="AK19" s="609"/>
      <c r="AL19" s="609"/>
      <c r="AM19" s="609"/>
      <c r="AN19" s="609"/>
      <c r="AO19" s="609"/>
      <c r="AP19" s="609"/>
      <c r="AQ19" s="609"/>
      <c r="AR19" s="609"/>
      <c r="AS19" s="609"/>
      <c r="AT19" s="609"/>
      <c r="AU19" s="609"/>
      <c r="AV19" s="609"/>
      <c r="AW19" s="610"/>
      <c r="AX19" s="611"/>
      <c r="AY19" s="806"/>
      <c r="AZ19" s="612"/>
      <c r="BA19" s="613"/>
    </row>
    <row r="20" spans="1:53" s="622" customFormat="1" ht="20.25" customHeight="1">
      <c r="A20" s="615"/>
      <c r="B20" s="616">
        <v>1</v>
      </c>
      <c r="C20" s="616" t="s">
        <v>289</v>
      </c>
      <c r="D20" s="617">
        <v>8</v>
      </c>
      <c r="E20" s="618">
        <v>8</v>
      </c>
      <c r="F20" s="618">
        <v>1</v>
      </c>
      <c r="G20" s="619">
        <v>1</v>
      </c>
      <c r="H20" s="618"/>
      <c r="I20" s="618"/>
      <c r="J20" s="604">
        <v>102528</v>
      </c>
      <c r="K20" s="620">
        <v>102528</v>
      </c>
      <c r="L20" s="620">
        <v>102528</v>
      </c>
      <c r="M20" s="605">
        <f>J20*10%</f>
        <v>10252.800000000001</v>
      </c>
      <c r="N20" s="604">
        <f>J20-M20</f>
        <v>92275.199999999997</v>
      </c>
      <c r="O20" s="604">
        <f>$N20*$W$19</f>
        <v>80279.423999999999</v>
      </c>
      <c r="P20" s="604">
        <f>O20-T20-U20</f>
        <v>79410.423999999999</v>
      </c>
      <c r="Q20" s="604">
        <f>N20-O20</f>
        <v>11995.775999999998</v>
      </c>
      <c r="R20" s="604"/>
      <c r="S20" s="606">
        <v>1120</v>
      </c>
      <c r="T20" s="620">
        <f>S20*0.2</f>
        <v>224</v>
      </c>
      <c r="U20" s="621">
        <v>645</v>
      </c>
      <c r="V20" s="604">
        <f>S20-T20-U20</f>
        <v>251</v>
      </c>
      <c r="W20" s="620"/>
      <c r="X20" s="607">
        <f t="shared" si="3"/>
        <v>0.19819455177955414</v>
      </c>
      <c r="Y20" s="608">
        <f>S20*12</f>
        <v>13440</v>
      </c>
      <c r="AA20" s="609">
        <f>D20*'Don gia XCSDL DC'!$K$8</f>
        <v>3690.080598140923</v>
      </c>
      <c r="AB20" s="609">
        <f>D20*'Don gia XCSDL DC'!$K$9</f>
        <v>3520.7867981409236</v>
      </c>
      <c r="AC20" s="609" t="e">
        <f>D20*'Don gia XCSDL DC'!#REF!</f>
        <v>#REF!</v>
      </c>
      <c r="AD20" s="609">
        <f>D20*'Don gia XCSDL DC'!$K$10</f>
        <v>14177.246030689786</v>
      </c>
      <c r="AE20" s="609">
        <f>J20*'Don gia XCSDL DC'!$K$11</f>
        <v>0</v>
      </c>
      <c r="AF20" s="609" t="e">
        <f>S20*'Don gia XCSDL DC'!#REF!</f>
        <v>#REF!</v>
      </c>
      <c r="AG20" s="609" t="e">
        <f>D20*'Don gia XCSDL DC'!#REF!</f>
        <v>#REF!</v>
      </c>
      <c r="AH20" s="609" t="e">
        <f>J20*'Don gia XCSDL DC'!#REF!</f>
        <v>#REF!</v>
      </c>
      <c r="AI20" s="609" t="e">
        <f>D20*'Don gia XCSDL DC'!#REF!</f>
        <v>#REF!</v>
      </c>
      <c r="AJ20" s="609">
        <f>S20*2*'Don gia XCSDL DC'!$K$24</f>
        <v>19153316.977463733</v>
      </c>
      <c r="AK20" s="609" t="e">
        <f>S20*3*'Don gia XCSDL DC'!#REF!</f>
        <v>#REF!</v>
      </c>
      <c r="AL20" s="609" t="e">
        <f>(S20*2+S20*3)*('Don gia XCSDL DC'!#REF!+'Don gia XCSDL DC'!#REF!+'Don gia XCSDL DC'!#REF!)</f>
        <v>#REF!</v>
      </c>
      <c r="AM20" s="609" t="e">
        <f>O20*'Don gia XCSDL DC'!#REF!*50%</f>
        <v>#REF!</v>
      </c>
      <c r="AN20" s="609" t="e">
        <f>T20*'Don gia XCSDL DC'!#REF!*$AN$8</f>
        <v>#REF!</v>
      </c>
      <c r="AO20" s="609" t="e">
        <f>U20*'Don gia XCSDL DC'!#REF!*1</f>
        <v>#REF!</v>
      </c>
      <c r="AP20" s="609" t="e">
        <f>P20*X20*'Don gia XCSDL DC'!#REF!</f>
        <v>#REF!</v>
      </c>
      <c r="AQ20" s="609" t="e">
        <f>Q20*$AQ$8*'Don gia XCSDL DC'!#REF!</f>
        <v>#REF!</v>
      </c>
      <c r="AR20" s="609" t="e">
        <f>M20*$AR$8*'Don gia XCSDL DC'!#REF!</f>
        <v>#REF!</v>
      </c>
      <c r="AS20" s="609" t="e">
        <f>J20*'Don gia XCSDL DC'!#REF!</f>
        <v>#REF!</v>
      </c>
      <c r="AT20" s="609">
        <f>D20*'Don gia XCSDL DC'!$K$26</f>
        <v>0</v>
      </c>
      <c r="AU20" s="609">
        <f>J20*'Don gia XCSDL DC'!$K$34</f>
        <v>0</v>
      </c>
      <c r="AV20" s="609">
        <f>O20*'Don gia XCSDL DC'!$K$37</f>
        <v>0</v>
      </c>
      <c r="AW20" s="610" t="e">
        <f t="shared" ref="AW20:AW78" si="8">SUM(AA20:AV20)</f>
        <v>#REF!</v>
      </c>
      <c r="AX20" s="611" t="e">
        <f t="shared" ref="AX20:AX78" si="9">AC20+AD20+AV20+AZ20+BA20</f>
        <v>#REF!</v>
      </c>
      <c r="AY20" s="806" t="e">
        <f t="shared" si="6"/>
        <v>#REF!</v>
      </c>
      <c r="AZ20" s="612" t="e">
        <f>D20*'Don gia XCSDL DC'!#REF!</f>
        <v>#REF!</v>
      </c>
      <c r="BA20" s="613" t="e">
        <f>(Q20+M20)*'Don gia XCSDL DC'!#REF!</f>
        <v>#REF!</v>
      </c>
    </row>
    <row r="21" spans="1:53" ht="20.25" customHeight="1">
      <c r="A21" s="599"/>
      <c r="B21" s="445">
        <v>2</v>
      </c>
      <c r="C21" s="445" t="s">
        <v>290</v>
      </c>
      <c r="D21" s="600">
        <v>23</v>
      </c>
      <c r="E21" s="601">
        <v>23</v>
      </c>
      <c r="F21" s="601">
        <v>1</v>
      </c>
      <c r="G21" s="602">
        <v>1</v>
      </c>
      <c r="H21" s="601"/>
      <c r="I21" s="601"/>
      <c r="J21" s="604">
        <v>312020</v>
      </c>
      <c r="K21" s="604">
        <f>312020-50000</f>
        <v>262020</v>
      </c>
      <c r="L21" s="604">
        <v>312020</v>
      </c>
      <c r="M21" s="605">
        <f>J21*10%</f>
        <v>31202</v>
      </c>
      <c r="N21" s="604">
        <f>J21-M21</f>
        <v>280818</v>
      </c>
      <c r="O21" s="604">
        <f>$N21*$W$19</f>
        <v>244311.66</v>
      </c>
      <c r="P21" s="604">
        <f>O21-T21-U21</f>
        <v>232623.46</v>
      </c>
      <c r="Q21" s="604">
        <f>N21-O21</f>
        <v>36506.339999999997</v>
      </c>
      <c r="R21" s="604"/>
      <c r="S21" s="623">
        <v>47442</v>
      </c>
      <c r="T21" s="604">
        <f>S21*0.05</f>
        <v>2372.1</v>
      </c>
      <c r="U21" s="621">
        <f>58441/5-T21</f>
        <v>9316.1</v>
      </c>
      <c r="V21" s="604">
        <f>S21-T21-U21</f>
        <v>35753.800000000003</v>
      </c>
      <c r="W21" s="604"/>
      <c r="X21" s="607">
        <f t="shared" si="3"/>
        <v>0.31927896247662096</v>
      </c>
      <c r="Y21" s="608">
        <f>S21*12</f>
        <v>569304</v>
      </c>
      <c r="AA21" s="609">
        <f>D21*'Don gia XCSDL DC'!$K$8</f>
        <v>10608.981719655154</v>
      </c>
      <c r="AB21" s="609">
        <f>D21*'Don gia XCSDL DC'!$K$9</f>
        <v>10122.262044655155</v>
      </c>
      <c r="AC21" s="609" t="e">
        <f>D21*'Don gia XCSDL DC'!#REF!</f>
        <v>#REF!</v>
      </c>
      <c r="AD21" s="609">
        <f>D21*'Don gia XCSDL DC'!$K$10</f>
        <v>40759.582338233136</v>
      </c>
      <c r="AE21" s="609">
        <f>J21*'Don gia XCSDL DC'!$K$11</f>
        <v>0</v>
      </c>
      <c r="AF21" s="609" t="e">
        <f>S21*'Don gia XCSDL DC'!#REF!</f>
        <v>#REF!</v>
      </c>
      <c r="AG21" s="609" t="e">
        <f>D21*'Don gia XCSDL DC'!#REF!</f>
        <v>#REF!</v>
      </c>
      <c r="AH21" s="609" t="e">
        <f>J21*'Don gia XCSDL DC'!#REF!</f>
        <v>#REF!</v>
      </c>
      <c r="AI21" s="609" t="e">
        <f>D21*'Don gia XCSDL DC'!#REF!</f>
        <v>#REF!</v>
      </c>
      <c r="AJ21" s="609">
        <f>S21*2*'Don gia XCSDL DC'!$K$24</f>
        <v>811313985.75431645</v>
      </c>
      <c r="AK21" s="609" t="e">
        <f>S21*3*'Don gia XCSDL DC'!#REF!</f>
        <v>#REF!</v>
      </c>
      <c r="AL21" s="609" t="e">
        <f>(S21*2+S21*3)*('Don gia XCSDL DC'!#REF!+'Don gia XCSDL DC'!#REF!+'Don gia XCSDL DC'!#REF!)</f>
        <v>#REF!</v>
      </c>
      <c r="AM21" s="609" t="e">
        <f>O21*'Don gia XCSDL DC'!#REF!*50%</f>
        <v>#REF!</v>
      </c>
      <c r="AN21" s="609" t="e">
        <f>T21*'Don gia XCSDL DC'!#REF!*$AN$8</f>
        <v>#REF!</v>
      </c>
      <c r="AO21" s="609" t="e">
        <f>U21*'Don gia XCSDL DC'!#REF!*1</f>
        <v>#REF!</v>
      </c>
      <c r="AP21" s="609" t="e">
        <f>P21*X21*'Don gia XCSDL DC'!#REF!</f>
        <v>#REF!</v>
      </c>
      <c r="AQ21" s="609" t="e">
        <f>Q21*$AQ$8*'Don gia XCSDL DC'!#REF!</f>
        <v>#REF!</v>
      </c>
      <c r="AR21" s="609" t="e">
        <f>M21*$AR$8*'Don gia XCSDL DC'!#REF!</f>
        <v>#REF!</v>
      </c>
      <c r="AS21" s="609" t="e">
        <f>J21*'Don gia XCSDL DC'!#REF!</f>
        <v>#REF!</v>
      </c>
      <c r="AT21" s="609">
        <f>D21*'Don gia XCSDL DC'!$K$26</f>
        <v>0</v>
      </c>
      <c r="AU21" s="609">
        <f>J21*'Don gia XCSDL DC'!$K$34</f>
        <v>0</v>
      </c>
      <c r="AV21" s="609">
        <f>O21*'Don gia XCSDL DC'!$K$37</f>
        <v>0</v>
      </c>
      <c r="AW21" s="610" t="e">
        <f t="shared" si="8"/>
        <v>#REF!</v>
      </c>
      <c r="AX21" s="611" t="e">
        <f t="shared" si="9"/>
        <v>#REF!</v>
      </c>
      <c r="AY21" s="806" t="e">
        <f t="shared" si="6"/>
        <v>#REF!</v>
      </c>
      <c r="AZ21" s="612" t="e">
        <f>D21*'Don gia XCSDL DC'!#REF!</f>
        <v>#REF!</v>
      </c>
      <c r="BA21" s="613" t="e">
        <f>(Q21+M21)*'Don gia XCSDL DC'!#REF!</f>
        <v>#REF!</v>
      </c>
    </row>
    <row r="22" spans="1:53" ht="20.25" customHeight="1">
      <c r="A22" s="599"/>
      <c r="B22" s="445">
        <v>3</v>
      </c>
      <c r="C22" s="445" t="s">
        <v>291</v>
      </c>
      <c r="D22" s="600">
        <v>23</v>
      </c>
      <c r="E22" s="601">
        <v>23</v>
      </c>
      <c r="F22" s="601">
        <v>1</v>
      </c>
      <c r="G22" s="602">
        <v>1</v>
      </c>
      <c r="H22" s="601"/>
      <c r="I22" s="601"/>
      <c r="J22" s="604">
        <v>411094</v>
      </c>
      <c r="K22" s="604">
        <f>411094-200000</f>
        <v>211094</v>
      </c>
      <c r="L22" s="604">
        <v>411094</v>
      </c>
      <c r="M22" s="605">
        <f>J22*10%</f>
        <v>41109.4</v>
      </c>
      <c r="N22" s="604">
        <f>J22-M22</f>
        <v>369984.6</v>
      </c>
      <c r="O22" s="604">
        <f>$N22*$W$19</f>
        <v>321886.60199999996</v>
      </c>
      <c r="P22" s="604">
        <f>O22-T22-U22</f>
        <v>307183.40199999994</v>
      </c>
      <c r="Q22" s="604">
        <f>N22-O22</f>
        <v>48097.998000000021</v>
      </c>
      <c r="R22" s="604"/>
      <c r="S22" s="623">
        <v>68471</v>
      </c>
      <c r="T22" s="604">
        <f>S22*0.05</f>
        <v>3423.55</v>
      </c>
      <c r="U22" s="621">
        <f>73516/5-T22</f>
        <v>11279.650000000001</v>
      </c>
      <c r="V22" s="604">
        <f>S22-T22-U22</f>
        <v>53767.799999999996</v>
      </c>
      <c r="W22" s="604"/>
      <c r="X22" s="607">
        <f t="shared" si="3"/>
        <v>0.33644107318917776</v>
      </c>
      <c r="Y22" s="608">
        <f>S22*12</f>
        <v>821652</v>
      </c>
      <c r="AA22" s="609">
        <f>D22*'Don gia XCSDL DC'!$K$8</f>
        <v>10608.981719655154</v>
      </c>
      <c r="AB22" s="609">
        <f>D22*'Don gia XCSDL DC'!$K$9</f>
        <v>10122.262044655155</v>
      </c>
      <c r="AC22" s="609" t="e">
        <f>D22*'Don gia XCSDL DC'!#REF!</f>
        <v>#REF!</v>
      </c>
      <c r="AD22" s="609">
        <f>D22*'Don gia XCSDL DC'!$K$10</f>
        <v>40759.582338233136</v>
      </c>
      <c r="AE22" s="609">
        <f>J22*'Don gia XCSDL DC'!$K$11</f>
        <v>0</v>
      </c>
      <c r="AF22" s="609" t="e">
        <f>S22*'Don gia XCSDL DC'!#REF!</f>
        <v>#REF!</v>
      </c>
      <c r="AG22" s="609" t="e">
        <f>D22*'Don gia XCSDL DC'!#REF!</f>
        <v>#REF!</v>
      </c>
      <c r="AH22" s="609" t="e">
        <f>J22*'Don gia XCSDL DC'!#REF!</f>
        <v>#REF!</v>
      </c>
      <c r="AI22" s="609" t="e">
        <f>D22*'Don gia XCSDL DC'!#REF!</f>
        <v>#REF!</v>
      </c>
      <c r="AJ22" s="609">
        <f>S22*2*'Don gia XCSDL DC'!$K$24</f>
        <v>1170934613.1820707</v>
      </c>
      <c r="AK22" s="609" t="e">
        <f>S22*3*'Don gia XCSDL DC'!#REF!</f>
        <v>#REF!</v>
      </c>
      <c r="AL22" s="609" t="e">
        <f>(S22*2+S22*3)*('Don gia XCSDL DC'!#REF!+'Don gia XCSDL DC'!#REF!+'Don gia XCSDL DC'!#REF!)</f>
        <v>#REF!</v>
      </c>
      <c r="AM22" s="609" t="e">
        <f>O22*'Don gia XCSDL DC'!#REF!*50%</f>
        <v>#REF!</v>
      </c>
      <c r="AN22" s="609" t="e">
        <f>T22*'Don gia XCSDL DC'!#REF!*$AN$8</f>
        <v>#REF!</v>
      </c>
      <c r="AO22" s="609" t="e">
        <f>U22*'Don gia XCSDL DC'!#REF!*1</f>
        <v>#REF!</v>
      </c>
      <c r="AP22" s="609" t="e">
        <f>P22*X22*'Don gia XCSDL DC'!#REF!</f>
        <v>#REF!</v>
      </c>
      <c r="AQ22" s="609" t="e">
        <f>Q22*$AQ$8*'Don gia XCSDL DC'!#REF!</f>
        <v>#REF!</v>
      </c>
      <c r="AR22" s="609" t="e">
        <f>M22*$AR$8*'Don gia XCSDL DC'!#REF!</f>
        <v>#REF!</v>
      </c>
      <c r="AS22" s="609" t="e">
        <f>J22*'Don gia XCSDL DC'!#REF!</f>
        <v>#REF!</v>
      </c>
      <c r="AT22" s="609">
        <f>D22*'Don gia XCSDL DC'!$K$26</f>
        <v>0</v>
      </c>
      <c r="AU22" s="609">
        <f>J22*'Don gia XCSDL DC'!$K$34</f>
        <v>0</v>
      </c>
      <c r="AV22" s="609">
        <f>O22*'Don gia XCSDL DC'!$K$37</f>
        <v>0</v>
      </c>
      <c r="AW22" s="610" t="e">
        <f t="shared" si="8"/>
        <v>#REF!</v>
      </c>
      <c r="AX22" s="611" t="e">
        <f t="shared" si="9"/>
        <v>#REF!</v>
      </c>
      <c r="AY22" s="806" t="e">
        <f t="shared" si="6"/>
        <v>#REF!</v>
      </c>
      <c r="AZ22" s="612" t="e">
        <f>D22*'Don gia XCSDL DC'!#REF!</f>
        <v>#REF!</v>
      </c>
      <c r="BA22" s="613" t="e">
        <f>(Q22+M22)*'Don gia XCSDL DC'!#REF!</f>
        <v>#REF!</v>
      </c>
    </row>
    <row r="23" spans="1:53" ht="20.25" customHeight="1">
      <c r="A23" s="599"/>
      <c r="B23" s="445">
        <v>4</v>
      </c>
      <c r="C23" s="445" t="s">
        <v>292</v>
      </c>
      <c r="D23" s="600">
        <v>20</v>
      </c>
      <c r="E23" s="601">
        <v>20</v>
      </c>
      <c r="F23" s="601">
        <v>1</v>
      </c>
      <c r="G23" s="602">
        <v>1</v>
      </c>
      <c r="H23" s="601"/>
      <c r="I23" s="601"/>
      <c r="J23" s="604">
        <v>298464</v>
      </c>
      <c r="K23" s="604">
        <f>298464-50000</f>
        <v>248464</v>
      </c>
      <c r="L23" s="604">
        <v>298464</v>
      </c>
      <c r="M23" s="605">
        <f>J23*10%</f>
        <v>29846.400000000001</v>
      </c>
      <c r="N23" s="604">
        <f>J23-M23</f>
        <v>268617.59999999998</v>
      </c>
      <c r="O23" s="604">
        <f>$N23*$W$19</f>
        <v>233697.31199999998</v>
      </c>
      <c r="P23" s="604">
        <f>O23-T23-U23</f>
        <v>223279.91199999998</v>
      </c>
      <c r="Q23" s="604">
        <f>N23-O23</f>
        <v>34920.288</v>
      </c>
      <c r="R23" s="604"/>
      <c r="S23" s="623">
        <v>81276</v>
      </c>
      <c r="T23" s="604">
        <f>S23*0.05</f>
        <v>4063.8</v>
      </c>
      <c r="U23" s="621">
        <f>52087/5-T23</f>
        <v>6353.5999999999995</v>
      </c>
      <c r="V23" s="604">
        <f>S23-T23-U23</f>
        <v>70858.599999999991</v>
      </c>
      <c r="W23" s="604"/>
      <c r="X23" s="607">
        <f t="shared" si="3"/>
        <v>0.45091454999981484</v>
      </c>
      <c r="Y23" s="608">
        <f>S23*12</f>
        <v>975312</v>
      </c>
      <c r="AA23" s="609">
        <f>D23*'Don gia XCSDL DC'!$K$8</f>
        <v>9225.2014953523067</v>
      </c>
      <c r="AB23" s="609">
        <f>D23*'Don gia XCSDL DC'!$K$9</f>
        <v>8801.966995352308</v>
      </c>
      <c r="AC23" s="609" t="e">
        <f>D23*'Don gia XCSDL DC'!#REF!</f>
        <v>#REF!</v>
      </c>
      <c r="AD23" s="609">
        <f>D23*'Don gia XCSDL DC'!$K$10</f>
        <v>35443.115076724469</v>
      </c>
      <c r="AE23" s="609">
        <f>J23*'Don gia XCSDL DC'!$K$11</f>
        <v>0</v>
      </c>
      <c r="AF23" s="609" t="e">
        <f>S23*'Don gia XCSDL DC'!#REF!</f>
        <v>#REF!</v>
      </c>
      <c r="AG23" s="609" t="e">
        <f>D23*'Don gia XCSDL DC'!#REF!</f>
        <v>#REF!</v>
      </c>
      <c r="AH23" s="609" t="e">
        <f>J23*'Don gia XCSDL DC'!#REF!</f>
        <v>#REF!</v>
      </c>
      <c r="AI23" s="609" t="e">
        <f>D23*'Don gia XCSDL DC'!#REF!</f>
        <v>#REF!</v>
      </c>
      <c r="AJ23" s="609">
        <f>S23*2*'Don gia XCSDL DC'!$K$24</f>
        <v>1389915170.2324486</v>
      </c>
      <c r="AK23" s="609" t="e">
        <f>S23*3*'Don gia XCSDL DC'!#REF!</f>
        <v>#REF!</v>
      </c>
      <c r="AL23" s="609" t="e">
        <f>(S23*2+S23*3)*('Don gia XCSDL DC'!#REF!+'Don gia XCSDL DC'!#REF!+'Don gia XCSDL DC'!#REF!)</f>
        <v>#REF!</v>
      </c>
      <c r="AM23" s="609" t="e">
        <f>O23*'Don gia XCSDL DC'!#REF!*50%</f>
        <v>#REF!</v>
      </c>
      <c r="AN23" s="609" t="e">
        <f>T23*'Don gia XCSDL DC'!#REF!*$AN$8</f>
        <v>#REF!</v>
      </c>
      <c r="AO23" s="609" t="e">
        <f>U23*'Don gia XCSDL DC'!#REF!*1</f>
        <v>#REF!</v>
      </c>
      <c r="AP23" s="609" t="e">
        <f>P23*X23*'Don gia XCSDL DC'!#REF!</f>
        <v>#REF!</v>
      </c>
      <c r="AQ23" s="609" t="e">
        <f>Q23*$AQ$8*'Don gia XCSDL DC'!#REF!</f>
        <v>#REF!</v>
      </c>
      <c r="AR23" s="609" t="e">
        <f>M23*$AR$8*'Don gia XCSDL DC'!#REF!</f>
        <v>#REF!</v>
      </c>
      <c r="AS23" s="609" t="e">
        <f>J23*'Don gia XCSDL DC'!#REF!</f>
        <v>#REF!</v>
      </c>
      <c r="AT23" s="609">
        <f>D23*'Don gia XCSDL DC'!$K$26</f>
        <v>0</v>
      </c>
      <c r="AU23" s="609">
        <f>J23*'Don gia XCSDL DC'!$K$34</f>
        <v>0</v>
      </c>
      <c r="AV23" s="609">
        <f>O23*'Don gia XCSDL DC'!$K$37</f>
        <v>0</v>
      </c>
      <c r="AW23" s="610" t="e">
        <f t="shared" si="8"/>
        <v>#REF!</v>
      </c>
      <c r="AX23" s="611" t="e">
        <f t="shared" si="9"/>
        <v>#REF!</v>
      </c>
      <c r="AY23" s="806" t="e">
        <f t="shared" si="6"/>
        <v>#REF!</v>
      </c>
      <c r="AZ23" s="612" t="e">
        <f>D23*'Don gia XCSDL DC'!#REF!</f>
        <v>#REF!</v>
      </c>
      <c r="BA23" s="613" t="e">
        <f>(Q23+M23)*'Don gia XCSDL DC'!#REF!</f>
        <v>#REF!</v>
      </c>
    </row>
    <row r="24" spans="1:53" s="723" customFormat="1" ht="20.25" customHeight="1">
      <c r="A24" s="712"/>
      <c r="B24" s="713"/>
      <c r="C24" s="713" t="s">
        <v>293</v>
      </c>
      <c r="D24" s="714">
        <v>29</v>
      </c>
      <c r="E24" s="715">
        <v>29</v>
      </c>
      <c r="F24" s="715"/>
      <c r="G24" s="715">
        <v>1</v>
      </c>
      <c r="H24" s="715"/>
      <c r="I24" s="715"/>
      <c r="J24" s="718">
        <v>410032</v>
      </c>
      <c r="K24" s="716"/>
      <c r="L24" s="731">
        <v>435958</v>
      </c>
      <c r="M24" s="719"/>
      <c r="N24" s="718"/>
      <c r="O24" s="718"/>
      <c r="P24" s="718"/>
      <c r="Q24" s="718"/>
      <c r="R24" s="718"/>
      <c r="S24" s="732"/>
      <c r="T24" s="718"/>
      <c r="U24" s="730"/>
      <c r="V24" s="718"/>
      <c r="W24" s="718"/>
      <c r="X24" s="721"/>
      <c r="Y24" s="722"/>
      <c r="AA24" s="609"/>
      <c r="AB24" s="609"/>
      <c r="AC24" s="609"/>
      <c r="AD24" s="724"/>
      <c r="AE24" s="724"/>
      <c r="AF24" s="724"/>
      <c r="AG24" s="724"/>
      <c r="AH24" s="724"/>
      <c r="AI24" s="724"/>
      <c r="AJ24" s="724"/>
      <c r="AK24" s="724"/>
      <c r="AL24" s="724"/>
      <c r="AM24" s="724"/>
      <c r="AN24" s="724"/>
      <c r="AO24" s="724"/>
      <c r="AP24" s="724"/>
      <c r="AQ24" s="724"/>
      <c r="AR24" s="724"/>
      <c r="AS24" s="724"/>
      <c r="AT24" s="724"/>
      <c r="AU24" s="724"/>
      <c r="AV24" s="609"/>
      <c r="AW24" s="610"/>
      <c r="AX24" s="611"/>
      <c r="AY24" s="807"/>
      <c r="AZ24" s="612"/>
      <c r="BA24" s="613"/>
    </row>
    <row r="25" spans="1:53" s="598" customFormat="1" ht="20.25" customHeight="1">
      <c r="A25" s="589">
        <v>3</v>
      </c>
      <c r="B25" s="1945" t="s">
        <v>294</v>
      </c>
      <c r="C25" s="1945"/>
      <c r="D25" s="594"/>
      <c r="E25" s="595">
        <f>SUM(E26:E30)</f>
        <v>96</v>
      </c>
      <c r="F25" s="595">
        <f>SUM(F26:F30)</f>
        <v>5</v>
      </c>
      <c r="G25" s="596">
        <f>SUM(G26:G31)</f>
        <v>6</v>
      </c>
      <c r="H25" s="595">
        <v>7</v>
      </c>
      <c r="I25" s="595"/>
      <c r="J25" s="595">
        <f t="shared" ref="J25:Q25" si="10">SUM(J26:J30)</f>
        <v>1068185</v>
      </c>
      <c r="K25" s="595">
        <f t="shared" si="10"/>
        <v>311221</v>
      </c>
      <c r="L25" s="595">
        <f t="shared" si="10"/>
        <v>834250</v>
      </c>
      <c r="M25" s="595">
        <f t="shared" si="10"/>
        <v>106818.5</v>
      </c>
      <c r="N25" s="595">
        <f t="shared" si="10"/>
        <v>961366.5</v>
      </c>
      <c r="O25" s="595">
        <f t="shared" si="10"/>
        <v>883495.81349999993</v>
      </c>
      <c r="P25" s="595">
        <f t="shared" si="10"/>
        <v>778968.81350000005</v>
      </c>
      <c r="Q25" s="595">
        <f t="shared" si="10"/>
        <v>77870.686499999953</v>
      </c>
      <c r="R25" s="595"/>
      <c r="S25" s="595">
        <f>SUM(S26:S30)</f>
        <v>308113</v>
      </c>
      <c r="T25" s="595">
        <f>SUM(T26:T30)</f>
        <v>21192.35</v>
      </c>
      <c r="U25" s="595">
        <f>SUM(U26:U30)</f>
        <v>83334.649999999994</v>
      </c>
      <c r="V25" s="595">
        <f>SUM(V26:V30)</f>
        <v>203586</v>
      </c>
      <c r="W25" s="597">
        <f>91.9%</f>
        <v>0.91900000000000004</v>
      </c>
      <c r="X25" s="607">
        <f t="shared" si="3"/>
        <v>0.40587106032259429</v>
      </c>
      <c r="Y25" s="595">
        <f>SUM(Y26:Y30)</f>
        <v>3697356</v>
      </c>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10"/>
      <c r="AX25" s="611"/>
      <c r="AY25" s="806"/>
      <c r="AZ25" s="612"/>
      <c r="BA25" s="613"/>
    </row>
    <row r="26" spans="1:53" ht="20.25" customHeight="1">
      <c r="A26" s="599"/>
      <c r="B26" s="445">
        <v>1</v>
      </c>
      <c r="C26" s="445" t="s">
        <v>295</v>
      </c>
      <c r="D26" s="600">
        <v>13</v>
      </c>
      <c r="E26" s="601">
        <v>13</v>
      </c>
      <c r="F26" s="601">
        <v>1</v>
      </c>
      <c r="G26" s="602">
        <v>1</v>
      </c>
      <c r="H26" s="601"/>
      <c r="I26" s="601"/>
      <c r="J26" s="604">
        <f>38229+64713</f>
        <v>102942</v>
      </c>
      <c r="K26" s="604">
        <f>38229+64713</f>
        <v>102942</v>
      </c>
      <c r="L26" s="604">
        <f>38229+64713</f>
        <v>102942</v>
      </c>
      <c r="M26" s="605">
        <f>J26*10%</f>
        <v>10294.200000000001</v>
      </c>
      <c r="N26" s="604">
        <f>J26-M26</f>
        <v>92647.8</v>
      </c>
      <c r="O26" s="604">
        <f>$N26*$W$25</f>
        <v>85143.328200000004</v>
      </c>
      <c r="P26" s="604">
        <f>O26-T26-U26</f>
        <v>67301.128199999992</v>
      </c>
      <c r="Q26" s="604">
        <f>N26-O26</f>
        <v>7504.4717999999993</v>
      </c>
      <c r="R26" s="604"/>
      <c r="S26" s="624">
        <v>38578</v>
      </c>
      <c r="T26" s="604">
        <f>S26*0.2</f>
        <v>7715.6</v>
      </c>
      <c r="U26" s="621">
        <f>89211/5-T26</f>
        <v>10126.6</v>
      </c>
      <c r="V26" s="604">
        <f>S26-T26-U26</f>
        <v>20735.800000000003</v>
      </c>
      <c r="W26" s="604"/>
      <c r="X26" s="607">
        <f t="shared" si="3"/>
        <v>0.44347559230521716</v>
      </c>
      <c r="Y26" s="608">
        <f>S26*12</f>
        <v>462936</v>
      </c>
      <c r="AA26" s="609">
        <f>D26*'Don gia XCSDL DC'!$K$8</f>
        <v>5996.3809719789997</v>
      </c>
      <c r="AB26" s="609">
        <f>D26*'Don gia XCSDL DC'!$K$9</f>
        <v>5721.2785469790006</v>
      </c>
      <c r="AC26" s="609" t="e">
        <f>D26*'Don gia XCSDL DC'!#REF!</f>
        <v>#REF!</v>
      </c>
      <c r="AD26" s="609">
        <f>D26*'Don gia XCSDL DC'!$K$10</f>
        <v>23038.024799870902</v>
      </c>
      <c r="AE26" s="609">
        <f>J26*'Don gia XCSDL DC'!$K$11</f>
        <v>0</v>
      </c>
      <c r="AF26" s="609" t="e">
        <f>S26*'Don gia XCSDL DC'!#REF!</f>
        <v>#REF!</v>
      </c>
      <c r="AG26" s="609" t="e">
        <f>D26*'Don gia XCSDL DC'!#REF!</f>
        <v>#REF!</v>
      </c>
      <c r="AH26" s="609" t="e">
        <f>J26*'Don gia XCSDL DC'!#REF!</f>
        <v>#REF!</v>
      </c>
      <c r="AI26" s="609" t="e">
        <f>D26*'Don gia XCSDL DC'!#REF!</f>
        <v>#REF!</v>
      </c>
      <c r="AJ26" s="609">
        <f>S26*2*'Don gia XCSDL DC'!$K$24</f>
        <v>659729162.81838918</v>
      </c>
      <c r="AK26" s="609" t="e">
        <f>S26*3*'Don gia XCSDL DC'!#REF!</f>
        <v>#REF!</v>
      </c>
      <c r="AL26" s="609" t="e">
        <f>(S26*2+S26*3)*('Don gia XCSDL DC'!#REF!+'Don gia XCSDL DC'!#REF!+'Don gia XCSDL DC'!#REF!)</f>
        <v>#REF!</v>
      </c>
      <c r="AM26" s="609" t="e">
        <f>O26*'Don gia XCSDL DC'!#REF!*50%</f>
        <v>#REF!</v>
      </c>
      <c r="AN26" s="609" t="e">
        <f>T26*'Don gia XCSDL DC'!#REF!*$AN$8</f>
        <v>#REF!</v>
      </c>
      <c r="AO26" s="609" t="e">
        <f>U26*'Don gia XCSDL DC'!#REF!*1</f>
        <v>#REF!</v>
      </c>
      <c r="AP26" s="609" t="e">
        <f>P26*X26*'Don gia XCSDL DC'!#REF!</f>
        <v>#REF!</v>
      </c>
      <c r="AQ26" s="609" t="e">
        <f>Q26*$AQ$8*'Don gia XCSDL DC'!#REF!</f>
        <v>#REF!</v>
      </c>
      <c r="AR26" s="609" t="e">
        <f>M26*$AR$8*'Don gia XCSDL DC'!#REF!</f>
        <v>#REF!</v>
      </c>
      <c r="AS26" s="609" t="e">
        <f>J26*'Don gia XCSDL DC'!#REF!</f>
        <v>#REF!</v>
      </c>
      <c r="AT26" s="609">
        <f>D26*'Don gia XCSDL DC'!$K$26</f>
        <v>0</v>
      </c>
      <c r="AU26" s="609">
        <f>J26*'Don gia XCSDL DC'!$K$34</f>
        <v>0</v>
      </c>
      <c r="AV26" s="609">
        <f>O26*'Don gia XCSDL DC'!$K$37</f>
        <v>0</v>
      </c>
      <c r="AW26" s="610" t="e">
        <f t="shared" si="8"/>
        <v>#REF!</v>
      </c>
      <c r="AX26" s="611" t="e">
        <f t="shared" si="9"/>
        <v>#REF!</v>
      </c>
      <c r="AY26" s="806" t="e">
        <f t="shared" si="6"/>
        <v>#REF!</v>
      </c>
      <c r="AZ26" s="612" t="e">
        <f>D26*'Don gia XCSDL DC'!#REF!</f>
        <v>#REF!</v>
      </c>
      <c r="BA26" s="613" t="e">
        <f>(Q26+M26)*'Don gia XCSDL DC'!#REF!</f>
        <v>#REF!</v>
      </c>
    </row>
    <row r="27" spans="1:53" ht="20.25" customHeight="1">
      <c r="A27" s="599"/>
      <c r="B27" s="445">
        <v>2</v>
      </c>
      <c r="C27" s="445" t="s">
        <v>296</v>
      </c>
      <c r="D27" s="600">
        <v>8</v>
      </c>
      <c r="E27" s="601">
        <v>8</v>
      </c>
      <c r="F27" s="601">
        <v>1</v>
      </c>
      <c r="G27" s="602">
        <v>1</v>
      </c>
      <c r="H27" s="601"/>
      <c r="I27" s="601"/>
      <c r="J27" s="604">
        <f>74183+13477</f>
        <v>87660</v>
      </c>
      <c r="K27" s="604">
        <f>74183+13477</f>
        <v>87660</v>
      </c>
      <c r="L27" s="604">
        <f>74183+13477</f>
        <v>87660</v>
      </c>
      <c r="M27" s="605">
        <f>J27*10%</f>
        <v>8766</v>
      </c>
      <c r="N27" s="604">
        <f>J27-M27</f>
        <v>78894</v>
      </c>
      <c r="O27" s="604">
        <f>$N27*$W$25</f>
        <v>72503.58600000001</v>
      </c>
      <c r="P27" s="604">
        <f>O27-T27-U27</f>
        <v>66611.786000000007</v>
      </c>
      <c r="Q27" s="604">
        <f>N27-O27</f>
        <v>6390.4139999999898</v>
      </c>
      <c r="R27" s="604"/>
      <c r="S27" s="604">
        <v>31059</v>
      </c>
      <c r="T27" s="604">
        <f>S27*0.05</f>
        <v>1552.95</v>
      </c>
      <c r="U27" s="621">
        <f>29459/5-T27</f>
        <v>4338.8500000000004</v>
      </c>
      <c r="V27" s="604">
        <f>S27-T27-U27</f>
        <v>25167.199999999997</v>
      </c>
      <c r="W27" s="604"/>
      <c r="X27" s="607">
        <f t="shared" si="3"/>
        <v>0.49955008484273461</v>
      </c>
      <c r="Y27" s="608">
        <f>S27*12</f>
        <v>372708</v>
      </c>
      <c r="AA27" s="609">
        <f>D27*'Don gia XCSDL DC'!$K$8</f>
        <v>3690.080598140923</v>
      </c>
      <c r="AB27" s="609">
        <f>D27*'Don gia XCSDL DC'!$K$9</f>
        <v>3520.7867981409236</v>
      </c>
      <c r="AC27" s="609" t="e">
        <f>D27*'Don gia XCSDL DC'!#REF!</f>
        <v>#REF!</v>
      </c>
      <c r="AD27" s="609">
        <f>D27*'Don gia XCSDL DC'!$K$10</f>
        <v>14177.246030689786</v>
      </c>
      <c r="AE27" s="609">
        <f>J27*'Don gia XCSDL DC'!$K$11</f>
        <v>0</v>
      </c>
      <c r="AF27" s="609" t="e">
        <f>S27*'Don gia XCSDL DC'!#REF!</f>
        <v>#REF!</v>
      </c>
      <c r="AG27" s="609" t="e">
        <f>D27*'Don gia XCSDL DC'!#REF!</f>
        <v>#REF!</v>
      </c>
      <c r="AH27" s="609" t="e">
        <f>J27*'Don gia XCSDL DC'!#REF!</f>
        <v>#REF!</v>
      </c>
      <c r="AI27" s="609" t="e">
        <f>D27*'Don gia XCSDL DC'!#REF!</f>
        <v>#REF!</v>
      </c>
      <c r="AJ27" s="609">
        <f>S27*2*'Don gia XCSDL DC'!$K$24</f>
        <v>531145421.4312911</v>
      </c>
      <c r="AK27" s="609" t="e">
        <f>S27*3*'Don gia XCSDL DC'!#REF!</f>
        <v>#REF!</v>
      </c>
      <c r="AL27" s="609" t="e">
        <f>(S27*2+S27*3)*('Don gia XCSDL DC'!#REF!+'Don gia XCSDL DC'!#REF!+'Don gia XCSDL DC'!#REF!)</f>
        <v>#REF!</v>
      </c>
      <c r="AM27" s="609" t="e">
        <f>O27*'Don gia XCSDL DC'!#REF!*50%</f>
        <v>#REF!</v>
      </c>
      <c r="AN27" s="609" t="e">
        <f>T27*'Don gia XCSDL DC'!#REF!*$AN$8</f>
        <v>#REF!</v>
      </c>
      <c r="AO27" s="609" t="e">
        <f>U27*'Don gia XCSDL DC'!#REF!*1</f>
        <v>#REF!</v>
      </c>
      <c r="AP27" s="609" t="e">
        <f>P27*X27*'Don gia XCSDL DC'!#REF!</f>
        <v>#REF!</v>
      </c>
      <c r="AQ27" s="609" t="e">
        <f>Q27*$AQ$8*'Don gia XCSDL DC'!#REF!</f>
        <v>#REF!</v>
      </c>
      <c r="AR27" s="609" t="e">
        <f>M27*$AR$8*'Don gia XCSDL DC'!#REF!</f>
        <v>#REF!</v>
      </c>
      <c r="AS27" s="609" t="e">
        <f>J27*'Don gia XCSDL DC'!#REF!</f>
        <v>#REF!</v>
      </c>
      <c r="AT27" s="609">
        <f>D27*'Don gia XCSDL DC'!$K$26</f>
        <v>0</v>
      </c>
      <c r="AU27" s="609">
        <f>J27*'Don gia XCSDL DC'!$K$34</f>
        <v>0</v>
      </c>
      <c r="AV27" s="609">
        <f>O27*'Don gia XCSDL DC'!$K$37</f>
        <v>0</v>
      </c>
      <c r="AW27" s="610" t="e">
        <f t="shared" si="8"/>
        <v>#REF!</v>
      </c>
      <c r="AX27" s="611" t="e">
        <f t="shared" si="9"/>
        <v>#REF!</v>
      </c>
      <c r="AY27" s="806" t="e">
        <f t="shared" si="6"/>
        <v>#REF!</v>
      </c>
      <c r="AZ27" s="612" t="e">
        <f>D27*'Don gia XCSDL DC'!#REF!</f>
        <v>#REF!</v>
      </c>
      <c r="BA27" s="613" t="e">
        <f>(Q27+M27)*'Don gia XCSDL DC'!#REF!</f>
        <v>#REF!</v>
      </c>
    </row>
    <row r="28" spans="1:53" ht="20.25" customHeight="1">
      <c r="A28" s="599"/>
      <c r="B28" s="445">
        <v>3</v>
      </c>
      <c r="C28" s="445" t="s">
        <v>297</v>
      </c>
      <c r="D28" s="600">
        <v>31</v>
      </c>
      <c r="E28" s="601">
        <v>31</v>
      </c>
      <c r="F28" s="601">
        <v>1</v>
      </c>
      <c r="G28" s="602">
        <v>1</v>
      </c>
      <c r="H28" s="601"/>
      <c r="I28" s="601"/>
      <c r="J28" s="604">
        <f>L28+48043</f>
        <v>242150</v>
      </c>
      <c r="K28" s="604">
        <v>120619</v>
      </c>
      <c r="L28" s="604">
        <v>194107</v>
      </c>
      <c r="M28" s="605">
        <f>J28*10%</f>
        <v>24215</v>
      </c>
      <c r="N28" s="604">
        <f>J28-M28</f>
        <v>217935</v>
      </c>
      <c r="O28" s="604">
        <f>$N28*$W$25</f>
        <v>200282.26500000001</v>
      </c>
      <c r="P28" s="604">
        <f>O28-T28-U28</f>
        <v>168564.46500000003</v>
      </c>
      <c r="Q28" s="604">
        <f>N28-O28</f>
        <v>17652.734999999986</v>
      </c>
      <c r="R28" s="604"/>
      <c r="S28" s="604">
        <v>80478</v>
      </c>
      <c r="T28" s="604">
        <f>S28*0.05</f>
        <v>4023.9</v>
      </c>
      <c r="U28" s="621">
        <f>158589/5-T28</f>
        <v>27693.899999999998</v>
      </c>
      <c r="V28" s="604">
        <f>S28-T28-U28</f>
        <v>48760.200000000012</v>
      </c>
      <c r="W28" s="604"/>
      <c r="X28" s="607">
        <f t="shared" si="3"/>
        <v>0.42832375667851674</v>
      </c>
      <c r="Y28" s="608">
        <f>S28*12</f>
        <v>965736</v>
      </c>
      <c r="AA28" s="609">
        <f>D28*'Don gia XCSDL DC'!$K$8</f>
        <v>14299.062317796077</v>
      </c>
      <c r="AB28" s="609">
        <f>D28*'Don gia XCSDL DC'!$K$9</f>
        <v>13643.048842796079</v>
      </c>
      <c r="AC28" s="609" t="e">
        <f>D28*'Don gia XCSDL DC'!#REF!</f>
        <v>#REF!</v>
      </c>
      <c r="AD28" s="609">
        <f>D28*'Don gia XCSDL DC'!$K$10</f>
        <v>54936.828368922921</v>
      </c>
      <c r="AE28" s="609">
        <f>J28*'Don gia XCSDL DC'!$K$11</f>
        <v>0</v>
      </c>
      <c r="AF28" s="609" t="e">
        <f>S28*'Don gia XCSDL DC'!#REF!</f>
        <v>#REF!</v>
      </c>
      <c r="AG28" s="609" t="e">
        <f>D28*'Don gia XCSDL DC'!#REF!</f>
        <v>#REF!</v>
      </c>
      <c r="AH28" s="609" t="e">
        <f>J28*'Don gia XCSDL DC'!#REF!</f>
        <v>#REF!</v>
      </c>
      <c r="AI28" s="609" t="e">
        <f>D28*'Don gia XCSDL DC'!#REF!</f>
        <v>#REF!</v>
      </c>
      <c r="AJ28" s="609">
        <f>S28*2*'Don gia XCSDL DC'!$K$24</f>
        <v>1376268431.8860056</v>
      </c>
      <c r="AK28" s="609" t="e">
        <f>S28*3*'Don gia XCSDL DC'!#REF!</f>
        <v>#REF!</v>
      </c>
      <c r="AL28" s="609" t="e">
        <f>(S28*2+S28*3)*('Don gia XCSDL DC'!#REF!+'Don gia XCSDL DC'!#REF!+'Don gia XCSDL DC'!#REF!)</f>
        <v>#REF!</v>
      </c>
      <c r="AM28" s="609" t="e">
        <f>O28*'Don gia XCSDL DC'!#REF!*50%</f>
        <v>#REF!</v>
      </c>
      <c r="AN28" s="609" t="e">
        <f>T28*'Don gia XCSDL DC'!#REF!*$AN$8</f>
        <v>#REF!</v>
      </c>
      <c r="AO28" s="609" t="e">
        <f>U28*'Don gia XCSDL DC'!#REF!*1</f>
        <v>#REF!</v>
      </c>
      <c r="AP28" s="609" t="e">
        <f>P28*X28*'Don gia XCSDL DC'!#REF!</f>
        <v>#REF!</v>
      </c>
      <c r="AQ28" s="609" t="e">
        <f>Q28*$AQ$8*'Don gia XCSDL DC'!#REF!</f>
        <v>#REF!</v>
      </c>
      <c r="AR28" s="609" t="e">
        <f>M28*$AR$8*'Don gia XCSDL DC'!#REF!</f>
        <v>#REF!</v>
      </c>
      <c r="AS28" s="609" t="e">
        <f>J28*'Don gia XCSDL DC'!#REF!</f>
        <v>#REF!</v>
      </c>
      <c r="AT28" s="609">
        <f>D28*'Don gia XCSDL DC'!$K$26</f>
        <v>0</v>
      </c>
      <c r="AU28" s="609">
        <f>J28*'Don gia XCSDL DC'!$K$34</f>
        <v>0</v>
      </c>
      <c r="AV28" s="609">
        <f>O28*'Don gia XCSDL DC'!$K$37</f>
        <v>0</v>
      </c>
      <c r="AW28" s="610" t="e">
        <f t="shared" si="8"/>
        <v>#REF!</v>
      </c>
      <c r="AX28" s="611" t="e">
        <f t="shared" si="9"/>
        <v>#REF!</v>
      </c>
      <c r="AY28" s="806" t="e">
        <f t="shared" si="6"/>
        <v>#REF!</v>
      </c>
      <c r="AZ28" s="612" t="e">
        <f>D28*'Don gia XCSDL DC'!#REF!</f>
        <v>#REF!</v>
      </c>
      <c r="BA28" s="613" t="e">
        <f>(Q28+M28)*'Don gia XCSDL DC'!#REF!</f>
        <v>#REF!</v>
      </c>
    </row>
    <row r="29" spans="1:53" ht="20.25" customHeight="1">
      <c r="A29" s="599"/>
      <c r="B29" s="445">
        <v>4</v>
      </c>
      <c r="C29" s="445" t="s">
        <v>721</v>
      </c>
      <c r="D29" s="600">
        <v>26</v>
      </c>
      <c r="E29" s="601">
        <v>26</v>
      </c>
      <c r="F29" s="601">
        <v>1</v>
      </c>
      <c r="G29" s="602">
        <v>1</v>
      </c>
      <c r="H29" s="601"/>
      <c r="I29" s="601"/>
      <c r="J29" s="604">
        <v>449541</v>
      </c>
      <c r="K29" s="604"/>
      <c r="L29" s="604">
        <v>449541</v>
      </c>
      <c r="M29" s="605">
        <f>J29*10%</f>
        <v>44954.100000000006</v>
      </c>
      <c r="N29" s="604">
        <f>J29-M29</f>
        <v>404586.9</v>
      </c>
      <c r="O29" s="604">
        <f>$N29*$W$25</f>
        <v>371815.36110000004</v>
      </c>
      <c r="P29" s="604">
        <f>O29-T29-U29</f>
        <v>344687.96110000007</v>
      </c>
      <c r="Q29" s="604">
        <f>N29-O29</f>
        <v>32771.538899999985</v>
      </c>
      <c r="R29" s="604"/>
      <c r="S29" s="604">
        <v>96586</v>
      </c>
      <c r="T29" s="604">
        <f>S29*0.05</f>
        <v>4829.3</v>
      </c>
      <c r="U29" s="621">
        <f>135637/5-T29</f>
        <v>22298.100000000002</v>
      </c>
      <c r="V29" s="604">
        <f>S29-T29-U29</f>
        <v>69458.599999999991</v>
      </c>
      <c r="W29" s="604"/>
      <c r="X29" s="607">
        <f t="shared" si="3"/>
        <v>0.3577375387013858</v>
      </c>
      <c r="Y29" s="608">
        <f>S29*12</f>
        <v>1159032</v>
      </c>
      <c r="AA29" s="609">
        <f>D29*'Don gia XCSDL DC'!$K$8</f>
        <v>11992.761943957999</v>
      </c>
      <c r="AB29" s="609">
        <f>D29*'Don gia XCSDL DC'!$K$9</f>
        <v>11442.557093958001</v>
      </c>
      <c r="AC29" s="609" t="e">
        <f>D29*'Don gia XCSDL DC'!#REF!</f>
        <v>#REF!</v>
      </c>
      <c r="AD29" s="609">
        <f>D29*'Don gia XCSDL DC'!$K$10</f>
        <v>46076.049599741804</v>
      </c>
      <c r="AE29" s="609">
        <f>J29*'Don gia XCSDL DC'!$K$11</f>
        <v>0</v>
      </c>
      <c r="AF29" s="609" t="e">
        <f>S29*'Don gia XCSDL DC'!#REF!</f>
        <v>#REF!</v>
      </c>
      <c r="AG29" s="609" t="e">
        <f>D29*'Don gia XCSDL DC'!#REF!</f>
        <v>#REF!</v>
      </c>
      <c r="AH29" s="609" t="e">
        <f>J29*'Don gia XCSDL DC'!#REF!</f>
        <v>#REF!</v>
      </c>
      <c r="AI29" s="609" t="e">
        <f>D29*'Don gia XCSDL DC'!#REF!</f>
        <v>#REF!</v>
      </c>
      <c r="AJ29" s="609">
        <f>S29*2*'Don gia XCSDL DC'!$K$24</f>
        <v>1651734172.8440287</v>
      </c>
      <c r="AK29" s="609" t="e">
        <f>S29*3*'Don gia XCSDL DC'!#REF!</f>
        <v>#REF!</v>
      </c>
      <c r="AL29" s="609" t="e">
        <f>(S29*2+S29*3)*('Don gia XCSDL DC'!#REF!+'Don gia XCSDL DC'!#REF!+'Don gia XCSDL DC'!#REF!)</f>
        <v>#REF!</v>
      </c>
      <c r="AM29" s="609" t="e">
        <f>O29*'Don gia XCSDL DC'!#REF!*50%</f>
        <v>#REF!</v>
      </c>
      <c r="AN29" s="609" t="e">
        <f>T29*'Don gia XCSDL DC'!#REF!*$AN$8</f>
        <v>#REF!</v>
      </c>
      <c r="AO29" s="609" t="e">
        <f>U29*'Don gia XCSDL DC'!#REF!*1</f>
        <v>#REF!</v>
      </c>
      <c r="AP29" s="609" t="e">
        <f>P29*X29*'Don gia XCSDL DC'!#REF!</f>
        <v>#REF!</v>
      </c>
      <c r="AQ29" s="609" t="e">
        <f>Q29*$AQ$8*'Don gia XCSDL DC'!#REF!</f>
        <v>#REF!</v>
      </c>
      <c r="AR29" s="609" t="e">
        <f>M29*$AR$8*'Don gia XCSDL DC'!#REF!</f>
        <v>#REF!</v>
      </c>
      <c r="AS29" s="609" t="e">
        <f>J29*'Don gia XCSDL DC'!#REF!</f>
        <v>#REF!</v>
      </c>
      <c r="AT29" s="609">
        <f>D29*'Don gia XCSDL DC'!$K$26</f>
        <v>0</v>
      </c>
      <c r="AU29" s="609">
        <f>J29*'Don gia XCSDL DC'!$K$34</f>
        <v>0</v>
      </c>
      <c r="AV29" s="609">
        <f>O29*'Don gia XCSDL DC'!$K$37</f>
        <v>0</v>
      </c>
      <c r="AW29" s="610" t="e">
        <f t="shared" si="8"/>
        <v>#REF!</v>
      </c>
      <c r="AX29" s="611" t="e">
        <f t="shared" si="9"/>
        <v>#REF!</v>
      </c>
      <c r="AY29" s="806" t="e">
        <f t="shared" si="6"/>
        <v>#REF!</v>
      </c>
      <c r="AZ29" s="612" t="e">
        <f>D29*'Don gia XCSDL DC'!#REF!</f>
        <v>#REF!</v>
      </c>
      <c r="BA29" s="613" t="e">
        <f>(Q29+M29)*'Don gia XCSDL DC'!#REF!</f>
        <v>#REF!</v>
      </c>
    </row>
    <row r="30" spans="1:53" ht="20.25" customHeight="1">
      <c r="A30" s="599"/>
      <c r="B30" s="445">
        <v>5</v>
      </c>
      <c r="C30" s="445" t="s">
        <v>298</v>
      </c>
      <c r="D30" s="600">
        <v>18</v>
      </c>
      <c r="E30" s="601">
        <v>18</v>
      </c>
      <c r="F30" s="601">
        <v>1</v>
      </c>
      <c r="G30" s="602">
        <v>1</v>
      </c>
      <c r="H30" s="601"/>
      <c r="I30" s="601"/>
      <c r="J30" s="625">
        <v>185892</v>
      </c>
      <c r="K30" s="604"/>
      <c r="L30" s="604"/>
      <c r="M30" s="605">
        <f>J30*10%</f>
        <v>18589.2</v>
      </c>
      <c r="N30" s="604">
        <f>J30-M30</f>
        <v>167302.79999999999</v>
      </c>
      <c r="O30" s="604">
        <f>$N30*$W$25</f>
        <v>153751.2732</v>
      </c>
      <c r="P30" s="604">
        <f>O30-T30-U30</f>
        <v>131803.47320000001</v>
      </c>
      <c r="Q30" s="604">
        <f>N30-O30</f>
        <v>13551.526799999992</v>
      </c>
      <c r="R30" s="604"/>
      <c r="S30" s="604">
        <v>61412</v>
      </c>
      <c r="T30" s="604">
        <f>S30*0.05</f>
        <v>3070.6000000000004</v>
      </c>
      <c r="U30" s="621">
        <f>109739/5-T30</f>
        <v>18877.199999999997</v>
      </c>
      <c r="V30" s="604">
        <f>S30-T30-U30</f>
        <v>39464.200000000004</v>
      </c>
      <c r="W30" s="604"/>
      <c r="X30" s="607">
        <f t="shared" si="3"/>
        <v>0.43648758369085555</v>
      </c>
      <c r="Y30" s="608">
        <f>S30*12</f>
        <v>736944</v>
      </c>
      <c r="AA30" s="609">
        <f>D30*'Don gia XCSDL DC'!$K$8</f>
        <v>8302.6813458170764</v>
      </c>
      <c r="AB30" s="609">
        <f>D30*'Don gia XCSDL DC'!$K$9</f>
        <v>7921.7702958170776</v>
      </c>
      <c r="AC30" s="609" t="e">
        <f>D30*'Don gia XCSDL DC'!#REF!</f>
        <v>#REF!</v>
      </c>
      <c r="AD30" s="609">
        <f>D30*'Don gia XCSDL DC'!$K$10</f>
        <v>31898.803569052019</v>
      </c>
      <c r="AE30" s="609">
        <f>J30*'Don gia XCSDL DC'!$K$11</f>
        <v>0</v>
      </c>
      <c r="AF30" s="609" t="e">
        <f>S30*'Don gia XCSDL DC'!#REF!</f>
        <v>#REF!</v>
      </c>
      <c r="AG30" s="609" t="e">
        <f>D30*'Don gia XCSDL DC'!#REF!</f>
        <v>#REF!</v>
      </c>
      <c r="AH30" s="609" t="e">
        <f>J30*'Don gia XCSDL DC'!#REF!</f>
        <v>#REF!</v>
      </c>
      <c r="AI30" s="609" t="e">
        <f>D30*'Don gia XCSDL DC'!#REF!</f>
        <v>#REF!</v>
      </c>
      <c r="AJ30" s="609">
        <f>S30*2*'Don gia XCSDL DC'!$K$24</f>
        <v>1050217412.696431</v>
      </c>
      <c r="AK30" s="609" t="e">
        <f>S30*3*'Don gia XCSDL DC'!#REF!</f>
        <v>#REF!</v>
      </c>
      <c r="AL30" s="609" t="e">
        <f>(S30*2+S30*3)*('Don gia XCSDL DC'!#REF!+'Don gia XCSDL DC'!#REF!+'Don gia XCSDL DC'!#REF!)</f>
        <v>#REF!</v>
      </c>
      <c r="AM30" s="609" t="e">
        <f>O30*'Don gia XCSDL DC'!#REF!*50%</f>
        <v>#REF!</v>
      </c>
      <c r="AN30" s="609" t="e">
        <f>T30*'Don gia XCSDL DC'!#REF!*$AN$8</f>
        <v>#REF!</v>
      </c>
      <c r="AO30" s="609" t="e">
        <f>U30*'Don gia XCSDL DC'!#REF!*1</f>
        <v>#REF!</v>
      </c>
      <c r="AP30" s="609" t="e">
        <f>P30*X30*'Don gia XCSDL DC'!#REF!</f>
        <v>#REF!</v>
      </c>
      <c r="AQ30" s="609" t="e">
        <f>Q30*$AQ$8*'Don gia XCSDL DC'!#REF!</f>
        <v>#REF!</v>
      </c>
      <c r="AR30" s="609" t="e">
        <f>M30*$AR$8*'Don gia XCSDL DC'!#REF!</f>
        <v>#REF!</v>
      </c>
      <c r="AS30" s="609" t="e">
        <f>J30*'Don gia XCSDL DC'!#REF!</f>
        <v>#REF!</v>
      </c>
      <c r="AT30" s="609">
        <f>D30*'Don gia XCSDL DC'!$K$26</f>
        <v>0</v>
      </c>
      <c r="AU30" s="609">
        <f>J30*'Don gia XCSDL DC'!$K$34</f>
        <v>0</v>
      </c>
      <c r="AV30" s="609">
        <f>O30*'Don gia XCSDL DC'!$K$37</f>
        <v>0</v>
      </c>
      <c r="AW30" s="610" t="e">
        <f t="shared" si="8"/>
        <v>#REF!</v>
      </c>
      <c r="AX30" s="611" t="e">
        <f t="shared" si="9"/>
        <v>#REF!</v>
      </c>
      <c r="AY30" s="806" t="e">
        <f t="shared" si="6"/>
        <v>#REF!</v>
      </c>
      <c r="AZ30" s="612" t="e">
        <f>D30*'Don gia XCSDL DC'!#REF!</f>
        <v>#REF!</v>
      </c>
      <c r="BA30" s="613" t="e">
        <f>(Q30+M30)*'Don gia XCSDL DC'!#REF!</f>
        <v>#REF!</v>
      </c>
    </row>
    <row r="31" spans="1:53" s="723" customFormat="1" ht="20.25" customHeight="1">
      <c r="A31" s="712"/>
      <c r="B31" s="713"/>
      <c r="C31" s="713" t="s">
        <v>299</v>
      </c>
      <c r="D31" s="714">
        <v>33</v>
      </c>
      <c r="E31" s="715">
        <v>33</v>
      </c>
      <c r="F31" s="715"/>
      <c r="G31" s="715">
        <v>1</v>
      </c>
      <c r="H31" s="715"/>
      <c r="I31" s="715"/>
      <c r="J31" s="718">
        <f>MIN(L31:N31)</f>
        <v>303151</v>
      </c>
      <c r="K31" s="716"/>
      <c r="L31" s="734">
        <v>303151</v>
      </c>
      <c r="M31" s="719"/>
      <c r="N31" s="718"/>
      <c r="O31" s="718"/>
      <c r="P31" s="718"/>
      <c r="Q31" s="718"/>
      <c r="R31" s="718"/>
      <c r="S31" s="718"/>
      <c r="T31" s="718"/>
      <c r="U31" s="730"/>
      <c r="V31" s="718"/>
      <c r="W31" s="718"/>
      <c r="X31" s="721"/>
      <c r="Y31" s="722"/>
      <c r="AA31" s="609"/>
      <c r="AB31" s="609"/>
      <c r="AC31" s="609"/>
      <c r="AD31" s="724"/>
      <c r="AE31" s="724"/>
      <c r="AF31" s="724"/>
      <c r="AG31" s="724"/>
      <c r="AH31" s="724"/>
      <c r="AI31" s="724"/>
      <c r="AJ31" s="724"/>
      <c r="AK31" s="724"/>
      <c r="AL31" s="724"/>
      <c r="AM31" s="724"/>
      <c r="AN31" s="724"/>
      <c r="AO31" s="724"/>
      <c r="AP31" s="724"/>
      <c r="AQ31" s="724"/>
      <c r="AR31" s="724"/>
      <c r="AS31" s="724"/>
      <c r="AT31" s="724"/>
      <c r="AU31" s="724"/>
      <c r="AV31" s="609"/>
      <c r="AW31" s="610"/>
      <c r="AX31" s="611"/>
      <c r="AY31" s="807"/>
      <c r="AZ31" s="612"/>
      <c r="BA31" s="613"/>
    </row>
    <row r="32" spans="1:53" s="723" customFormat="1" ht="20.25" customHeight="1">
      <c r="A32" s="712"/>
      <c r="B32" s="713"/>
      <c r="C32" s="713"/>
      <c r="D32" s="714"/>
      <c r="E32" s="715"/>
      <c r="F32" s="715"/>
      <c r="G32" s="715"/>
      <c r="H32" s="715"/>
      <c r="I32" s="715"/>
      <c r="J32" s="718"/>
      <c r="K32" s="716"/>
      <c r="L32" s="734"/>
      <c r="M32" s="719"/>
      <c r="N32" s="718"/>
      <c r="O32" s="718"/>
      <c r="P32" s="718"/>
      <c r="Q32" s="718"/>
      <c r="R32" s="718"/>
      <c r="S32" s="718"/>
      <c r="T32" s="718"/>
      <c r="U32" s="730"/>
      <c r="V32" s="718"/>
      <c r="W32" s="718"/>
      <c r="X32" s="721"/>
      <c r="Y32" s="722"/>
      <c r="AA32" s="609"/>
      <c r="AB32" s="609"/>
      <c r="AC32" s="609"/>
      <c r="AD32" s="724"/>
      <c r="AE32" s="724"/>
      <c r="AF32" s="724"/>
      <c r="AG32" s="724"/>
      <c r="AH32" s="724"/>
      <c r="AI32" s="724"/>
      <c r="AJ32" s="724"/>
      <c r="AK32" s="724"/>
      <c r="AL32" s="724"/>
      <c r="AM32" s="724"/>
      <c r="AN32" s="724"/>
      <c r="AO32" s="724"/>
      <c r="AP32" s="724"/>
      <c r="AQ32" s="724"/>
      <c r="AR32" s="724"/>
      <c r="AS32" s="724"/>
      <c r="AT32" s="724"/>
      <c r="AU32" s="724"/>
      <c r="AV32" s="609"/>
      <c r="AW32" s="610"/>
      <c r="AX32" s="611"/>
      <c r="AY32" s="807"/>
      <c r="AZ32" s="612"/>
      <c r="BA32" s="613"/>
    </row>
    <row r="33" spans="1:53" s="598" customFormat="1" ht="20.25" customHeight="1">
      <c r="A33" s="589">
        <v>4</v>
      </c>
      <c r="B33" s="1945" t="s">
        <v>300</v>
      </c>
      <c r="C33" s="1945"/>
      <c r="D33" s="594"/>
      <c r="E33" s="595">
        <f>SUM(E34:E39)</f>
        <v>111</v>
      </c>
      <c r="F33" s="595">
        <f>SUM(F34:F39)</f>
        <v>6</v>
      </c>
      <c r="G33" s="596">
        <f>SUM(G34:G42)</f>
        <v>9</v>
      </c>
      <c r="H33" s="595">
        <v>9</v>
      </c>
      <c r="I33" s="595"/>
      <c r="J33" s="595">
        <f t="shared" ref="J33:Q33" si="11">SUM(J34:J39)</f>
        <v>1792008</v>
      </c>
      <c r="K33" s="595">
        <f t="shared" si="11"/>
        <v>0</v>
      </c>
      <c r="L33" s="595">
        <f t="shared" si="11"/>
        <v>0</v>
      </c>
      <c r="M33" s="595">
        <f t="shared" si="11"/>
        <v>448002</v>
      </c>
      <c r="N33" s="595">
        <f t="shared" si="11"/>
        <v>1344006</v>
      </c>
      <c r="O33" s="595">
        <f t="shared" si="11"/>
        <v>1240517.5379999999</v>
      </c>
      <c r="P33" s="595">
        <f t="shared" si="11"/>
        <v>1196986.8879999998</v>
      </c>
      <c r="Q33" s="595">
        <f t="shared" si="11"/>
        <v>103488.46200000007</v>
      </c>
      <c r="R33" s="595"/>
      <c r="S33" s="595">
        <f>SUM(S34:S39)</f>
        <v>489017</v>
      </c>
      <c r="T33" s="595">
        <f>SUM(T34:T39)</f>
        <v>17819.349999999999</v>
      </c>
      <c r="U33" s="595">
        <f>SUM(U34:U39)</f>
        <v>25711.3</v>
      </c>
      <c r="V33" s="595">
        <f>SUM(V34:V39)</f>
        <v>445486.35</v>
      </c>
      <c r="W33" s="597">
        <f>92.3%</f>
        <v>0.92299999999999993</v>
      </c>
      <c r="X33" s="607">
        <f t="shared" si="3"/>
        <v>0.49500881747045655</v>
      </c>
      <c r="Y33" s="595">
        <f>SUM(Y34:Y39)</f>
        <v>5868204</v>
      </c>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10"/>
      <c r="AX33" s="611"/>
      <c r="AY33" s="806"/>
      <c r="AZ33" s="612"/>
      <c r="BA33" s="613"/>
    </row>
    <row r="34" spans="1:53" ht="20.25" customHeight="1">
      <c r="A34" s="626"/>
      <c r="B34" s="445">
        <v>1</v>
      </c>
      <c r="C34" s="445" t="s">
        <v>301</v>
      </c>
      <c r="D34" s="600">
        <v>11</v>
      </c>
      <c r="E34" s="601">
        <v>11</v>
      </c>
      <c r="F34" s="601">
        <v>1</v>
      </c>
      <c r="G34" s="602">
        <v>1</v>
      </c>
      <c r="H34" s="601"/>
      <c r="I34" s="601"/>
      <c r="J34" s="627">
        <v>94705</v>
      </c>
      <c r="K34" s="604"/>
      <c r="L34" s="604"/>
      <c r="M34" s="605">
        <f t="shared" ref="M34:M39" si="12">J34*25%</f>
        <v>23676.25</v>
      </c>
      <c r="N34" s="604">
        <f t="shared" ref="N34:N39" si="13">J34-M34</f>
        <v>71028.75</v>
      </c>
      <c r="O34" s="604">
        <f t="shared" ref="O34:O39" si="14">$N34*$W$33</f>
        <v>65559.53624999999</v>
      </c>
      <c r="P34" s="604">
        <f t="shared" ref="P34:P39" si="15">O34-T34-U34</f>
        <v>51675.986249999987</v>
      </c>
      <c r="Q34" s="604">
        <f t="shared" ref="Q34:Q39" si="16">N34-O34</f>
        <v>5469.2137500000099</v>
      </c>
      <c r="R34" s="604"/>
      <c r="S34" s="558">
        <v>27884</v>
      </c>
      <c r="T34" s="628">
        <f>S34*0.2</f>
        <v>5576.8</v>
      </c>
      <c r="U34" s="621">
        <f>277671/20-T34</f>
        <v>8306.75</v>
      </c>
      <c r="V34" s="604">
        <f t="shared" ref="V34:V39" si="17">S34-T34-U34</f>
        <v>14000.45</v>
      </c>
      <c r="W34" s="604"/>
      <c r="X34" s="607">
        <f t="shared" si="3"/>
        <v>0.41357218548784208</v>
      </c>
      <c r="Y34" s="608">
        <f t="shared" ref="Y34:Y39" si="18">S34*12</f>
        <v>334608</v>
      </c>
      <c r="AA34" s="609">
        <f>D34*'Don gia XCSDL DC'!$K$8</f>
        <v>5073.8608224437694</v>
      </c>
      <c r="AB34" s="609">
        <f>D34*'Don gia XCSDL DC'!$K$9</f>
        <v>4841.0818474437701</v>
      </c>
      <c r="AC34" s="609" t="e">
        <f>D34*'Don gia XCSDL DC'!#REF!</f>
        <v>#REF!</v>
      </c>
      <c r="AD34" s="609">
        <f>D34*'Don gia XCSDL DC'!$K$10</f>
        <v>19493.713292198456</v>
      </c>
      <c r="AE34" s="609">
        <f>J34*'Don gia XCSDL DC'!$K$11</f>
        <v>0</v>
      </c>
      <c r="AF34" s="609" t="e">
        <f>S34*'Don gia XCSDL DC'!#REF!</f>
        <v>#REF!</v>
      </c>
      <c r="AG34" s="609" t="e">
        <f>D34*'Don gia XCSDL DC'!#REF!</f>
        <v>#REF!</v>
      </c>
      <c r="AH34" s="609" t="e">
        <f>J34*'Don gia XCSDL DC'!#REF!</f>
        <v>#REF!</v>
      </c>
      <c r="AI34" s="609" t="e">
        <f>D34*'Don gia XCSDL DC'!#REF!</f>
        <v>#REF!</v>
      </c>
      <c r="AJ34" s="609">
        <f>S34*2*'Don gia XCSDL DC'!$K$24</f>
        <v>476849188.03535599</v>
      </c>
      <c r="AK34" s="609" t="e">
        <f>S34*3*'Don gia XCSDL DC'!#REF!</f>
        <v>#REF!</v>
      </c>
      <c r="AL34" s="609" t="e">
        <f>(S34*2+S34*3)*('Don gia XCSDL DC'!#REF!+'Don gia XCSDL DC'!#REF!+'Don gia XCSDL DC'!#REF!)</f>
        <v>#REF!</v>
      </c>
      <c r="AM34" s="609" t="e">
        <f>O34*'Don gia XCSDL DC'!#REF!*50%</f>
        <v>#REF!</v>
      </c>
      <c r="AN34" s="609" t="e">
        <f>T34*'Don gia XCSDL DC'!#REF!*$AN$8</f>
        <v>#REF!</v>
      </c>
      <c r="AO34" s="609" t="e">
        <f>U34*'Don gia XCSDL DC'!#REF!*1</f>
        <v>#REF!</v>
      </c>
      <c r="AP34" s="609" t="e">
        <f>P34*X34*'Don gia XCSDL DC'!#REF!</f>
        <v>#REF!</v>
      </c>
      <c r="AQ34" s="609" t="e">
        <f>Q34*$AQ$8*'Don gia XCSDL DC'!#REF!</f>
        <v>#REF!</v>
      </c>
      <c r="AR34" s="609" t="e">
        <f>M34*$AR$8*'Don gia XCSDL DC'!#REF!</f>
        <v>#REF!</v>
      </c>
      <c r="AS34" s="609" t="e">
        <f>J34*'Don gia XCSDL DC'!#REF!</f>
        <v>#REF!</v>
      </c>
      <c r="AT34" s="609">
        <f>D34*'Don gia XCSDL DC'!$K$26</f>
        <v>0</v>
      </c>
      <c r="AU34" s="609">
        <f>J34*'Don gia XCSDL DC'!$K$34</f>
        <v>0</v>
      </c>
      <c r="AV34" s="609">
        <f>O34*'Don gia XCSDL DC'!$K$37</f>
        <v>0</v>
      </c>
      <c r="AW34" s="610" t="e">
        <f t="shared" si="8"/>
        <v>#REF!</v>
      </c>
      <c r="AX34" s="611" t="e">
        <f t="shared" si="9"/>
        <v>#REF!</v>
      </c>
      <c r="AY34" s="806" t="e">
        <f t="shared" si="6"/>
        <v>#REF!</v>
      </c>
      <c r="AZ34" s="612" t="e">
        <f>D34*'Don gia XCSDL DC'!#REF!</f>
        <v>#REF!</v>
      </c>
      <c r="BA34" s="613" t="e">
        <f>(Q34+M34)*'Don gia XCSDL DC'!#REF!</f>
        <v>#REF!</v>
      </c>
    </row>
    <row r="35" spans="1:53" ht="20.25" customHeight="1">
      <c r="A35" s="626"/>
      <c r="B35" s="445">
        <v>2</v>
      </c>
      <c r="C35" s="445" t="s">
        <v>302</v>
      </c>
      <c r="D35" s="600">
        <v>16</v>
      </c>
      <c r="E35" s="601">
        <v>16</v>
      </c>
      <c r="F35" s="601">
        <v>1</v>
      </c>
      <c r="G35" s="602">
        <v>1</v>
      </c>
      <c r="H35" s="601"/>
      <c r="I35" s="601"/>
      <c r="J35" s="627">
        <v>297921</v>
      </c>
      <c r="K35" s="604"/>
      <c r="L35" s="604"/>
      <c r="M35" s="605">
        <f t="shared" si="12"/>
        <v>74480.25</v>
      </c>
      <c r="N35" s="604">
        <f t="shared" si="13"/>
        <v>223440.75</v>
      </c>
      <c r="O35" s="604">
        <f t="shared" si="14"/>
        <v>206235.81224999999</v>
      </c>
      <c r="P35" s="604">
        <f t="shared" si="15"/>
        <v>200974.16224999999</v>
      </c>
      <c r="Q35" s="604">
        <f t="shared" si="16"/>
        <v>17204.937750000012</v>
      </c>
      <c r="R35" s="604"/>
      <c r="S35" s="558">
        <v>51936</v>
      </c>
      <c r="T35" s="628">
        <f>S35*0.02</f>
        <v>1038.72</v>
      </c>
      <c r="U35" s="621">
        <f>105233/20-T35</f>
        <v>4222.9299999999994</v>
      </c>
      <c r="V35" s="604">
        <f t="shared" si="17"/>
        <v>46674.35</v>
      </c>
      <c r="W35" s="604"/>
      <c r="X35" s="607">
        <f t="shared" si="3"/>
        <v>0.38245435552791784</v>
      </c>
      <c r="Y35" s="608">
        <f t="shared" si="18"/>
        <v>623232</v>
      </c>
      <c r="AA35" s="609">
        <f>D35*'Don gia XCSDL DC'!$K$8</f>
        <v>7380.1611962818461</v>
      </c>
      <c r="AB35" s="609">
        <f>D35*'Don gia XCSDL DC'!$K$9</f>
        <v>7041.5735962818471</v>
      </c>
      <c r="AC35" s="609" t="e">
        <f>D35*'Don gia XCSDL DC'!#REF!</f>
        <v>#REF!</v>
      </c>
      <c r="AD35" s="609">
        <f>D35*'Don gia XCSDL DC'!$K$10</f>
        <v>28354.492061379573</v>
      </c>
      <c r="AE35" s="609">
        <f>J35*'Don gia XCSDL DC'!$K$11</f>
        <v>0</v>
      </c>
      <c r="AF35" s="609" t="e">
        <f>S35*'Don gia XCSDL DC'!#REF!</f>
        <v>#REF!</v>
      </c>
      <c r="AG35" s="609" t="e">
        <f>D35*'Don gia XCSDL DC'!#REF!</f>
        <v>#REF!</v>
      </c>
      <c r="AH35" s="609" t="e">
        <f>J35*'Don gia XCSDL DC'!#REF!</f>
        <v>#REF!</v>
      </c>
      <c r="AI35" s="609" t="e">
        <f>D35*'Don gia XCSDL DC'!#REF!</f>
        <v>#REF!</v>
      </c>
      <c r="AJ35" s="609">
        <f>S35*2*'Don gia XCSDL DC'!$K$24</f>
        <v>888166670.12638962</v>
      </c>
      <c r="AK35" s="609" t="e">
        <f>S35*3*'Don gia XCSDL DC'!#REF!</f>
        <v>#REF!</v>
      </c>
      <c r="AL35" s="609" t="e">
        <f>(S35*2+S35*3)*('Don gia XCSDL DC'!#REF!+'Don gia XCSDL DC'!#REF!+'Don gia XCSDL DC'!#REF!)</f>
        <v>#REF!</v>
      </c>
      <c r="AM35" s="609" t="e">
        <f>O35*'Don gia XCSDL DC'!#REF!*50%</f>
        <v>#REF!</v>
      </c>
      <c r="AN35" s="609" t="e">
        <f>T35*'Don gia XCSDL DC'!#REF!*$AN$8</f>
        <v>#REF!</v>
      </c>
      <c r="AO35" s="609" t="e">
        <f>U35*'Don gia XCSDL DC'!#REF!*1</f>
        <v>#REF!</v>
      </c>
      <c r="AP35" s="609" t="e">
        <f>P35*X35*'Don gia XCSDL DC'!#REF!</f>
        <v>#REF!</v>
      </c>
      <c r="AQ35" s="609" t="e">
        <f>Q35*$AQ$8*'Don gia XCSDL DC'!#REF!</f>
        <v>#REF!</v>
      </c>
      <c r="AR35" s="609" t="e">
        <f>M35*$AR$8*'Don gia XCSDL DC'!#REF!</f>
        <v>#REF!</v>
      </c>
      <c r="AS35" s="609" t="e">
        <f>J35*'Don gia XCSDL DC'!#REF!</f>
        <v>#REF!</v>
      </c>
      <c r="AT35" s="609">
        <f>D35*'Don gia XCSDL DC'!$K$26</f>
        <v>0</v>
      </c>
      <c r="AU35" s="609">
        <f>J35*'Don gia XCSDL DC'!$K$34</f>
        <v>0</v>
      </c>
      <c r="AV35" s="609">
        <f>O35*'Don gia XCSDL DC'!$K$37</f>
        <v>0</v>
      </c>
      <c r="AW35" s="610" t="e">
        <f t="shared" si="8"/>
        <v>#REF!</v>
      </c>
      <c r="AX35" s="611" t="e">
        <f t="shared" si="9"/>
        <v>#REF!</v>
      </c>
      <c r="AY35" s="806" t="e">
        <f t="shared" si="6"/>
        <v>#REF!</v>
      </c>
      <c r="AZ35" s="612" t="e">
        <f>D35*'Don gia XCSDL DC'!#REF!</f>
        <v>#REF!</v>
      </c>
      <c r="BA35" s="613" t="e">
        <f>(Q35+M35)*'Don gia XCSDL DC'!#REF!</f>
        <v>#REF!</v>
      </c>
    </row>
    <row r="36" spans="1:53" ht="20.25" customHeight="1">
      <c r="A36" s="626"/>
      <c r="B36" s="445">
        <v>3</v>
      </c>
      <c r="C36" s="445" t="s">
        <v>303</v>
      </c>
      <c r="D36" s="600">
        <v>30</v>
      </c>
      <c r="E36" s="601">
        <v>30</v>
      </c>
      <c r="F36" s="601">
        <v>1</v>
      </c>
      <c r="G36" s="602">
        <v>1</v>
      </c>
      <c r="H36" s="601"/>
      <c r="I36" s="601"/>
      <c r="J36" s="627">
        <v>456161</v>
      </c>
      <c r="K36" s="604"/>
      <c r="L36" s="604"/>
      <c r="M36" s="605">
        <f t="shared" si="12"/>
        <v>114040.25</v>
      </c>
      <c r="N36" s="604">
        <f t="shared" si="13"/>
        <v>342120.75</v>
      </c>
      <c r="O36" s="604">
        <f t="shared" si="14"/>
        <v>315777.45224999997</v>
      </c>
      <c r="P36" s="604">
        <f t="shared" si="15"/>
        <v>307794.10225</v>
      </c>
      <c r="Q36" s="604">
        <f t="shared" si="16"/>
        <v>26343.297750000027</v>
      </c>
      <c r="R36" s="604"/>
      <c r="S36" s="558">
        <v>129530</v>
      </c>
      <c r="T36" s="628">
        <f>S36*0.02</f>
        <v>2590.6</v>
      </c>
      <c r="U36" s="621">
        <f>159667/20-T36</f>
        <v>5392.75</v>
      </c>
      <c r="V36" s="604">
        <f t="shared" si="17"/>
        <v>121546.65</v>
      </c>
      <c r="W36" s="604"/>
      <c r="X36" s="607">
        <f t="shared" si="3"/>
        <v>0.5132858874279429</v>
      </c>
      <c r="Y36" s="608">
        <f t="shared" si="18"/>
        <v>1554360</v>
      </c>
      <c r="AA36" s="609">
        <f>D36*'Don gia XCSDL DC'!$K$8</f>
        <v>13837.802243028462</v>
      </c>
      <c r="AB36" s="609">
        <f>D36*'Don gia XCSDL DC'!$K$9</f>
        <v>13202.950493028464</v>
      </c>
      <c r="AC36" s="609" t="e">
        <f>D36*'Don gia XCSDL DC'!#REF!</f>
        <v>#REF!</v>
      </c>
      <c r="AD36" s="609">
        <f>D36*'Don gia XCSDL DC'!$K$10</f>
        <v>53164.672615086696</v>
      </c>
      <c r="AE36" s="609">
        <f>J36*'Don gia XCSDL DC'!$K$11</f>
        <v>0</v>
      </c>
      <c r="AF36" s="609" t="e">
        <f>S36*'Don gia XCSDL DC'!#REF!</f>
        <v>#REF!</v>
      </c>
      <c r="AG36" s="609" t="e">
        <f>D36*'Don gia XCSDL DC'!#REF!</f>
        <v>#REF!</v>
      </c>
      <c r="AH36" s="609" t="e">
        <f>J36*'Don gia XCSDL DC'!#REF!</f>
        <v>#REF!</v>
      </c>
      <c r="AI36" s="609" t="e">
        <f>D36*'Don gia XCSDL DC'!#REF!</f>
        <v>#REF!</v>
      </c>
      <c r="AJ36" s="609">
        <f>S36*2*'Don gia XCSDL DC'!$K$24</f>
        <v>2215115310.7954264</v>
      </c>
      <c r="AK36" s="609" t="e">
        <f>S36*3*'Don gia XCSDL DC'!#REF!</f>
        <v>#REF!</v>
      </c>
      <c r="AL36" s="609" t="e">
        <f>(S36*2+S36*3)*('Don gia XCSDL DC'!#REF!+'Don gia XCSDL DC'!#REF!+'Don gia XCSDL DC'!#REF!)</f>
        <v>#REF!</v>
      </c>
      <c r="AM36" s="609" t="e">
        <f>O36*'Don gia XCSDL DC'!#REF!*50%</f>
        <v>#REF!</v>
      </c>
      <c r="AN36" s="609" t="e">
        <f>T36*'Don gia XCSDL DC'!#REF!*$AN$8</f>
        <v>#REF!</v>
      </c>
      <c r="AO36" s="609" t="e">
        <f>U36*'Don gia XCSDL DC'!#REF!*1</f>
        <v>#REF!</v>
      </c>
      <c r="AP36" s="609" t="e">
        <f>P36*X36*'Don gia XCSDL DC'!#REF!</f>
        <v>#REF!</v>
      </c>
      <c r="AQ36" s="609" t="e">
        <f>Q36*$AQ$8*'Don gia XCSDL DC'!#REF!</f>
        <v>#REF!</v>
      </c>
      <c r="AR36" s="609" t="e">
        <f>M36*$AR$8*'Don gia XCSDL DC'!#REF!</f>
        <v>#REF!</v>
      </c>
      <c r="AS36" s="609" t="e">
        <f>J36*'Don gia XCSDL DC'!#REF!</f>
        <v>#REF!</v>
      </c>
      <c r="AT36" s="609">
        <f>D36*'Don gia XCSDL DC'!$K$26</f>
        <v>0</v>
      </c>
      <c r="AU36" s="609">
        <f>J36*'Don gia XCSDL DC'!$K$34</f>
        <v>0</v>
      </c>
      <c r="AV36" s="609">
        <f>O36*'Don gia XCSDL DC'!$K$37</f>
        <v>0</v>
      </c>
      <c r="AW36" s="610" t="e">
        <f t="shared" si="8"/>
        <v>#REF!</v>
      </c>
      <c r="AX36" s="611" t="e">
        <f t="shared" si="9"/>
        <v>#REF!</v>
      </c>
      <c r="AY36" s="806" t="e">
        <f t="shared" si="6"/>
        <v>#REF!</v>
      </c>
      <c r="AZ36" s="612" t="e">
        <f>D36*'Don gia XCSDL DC'!#REF!</f>
        <v>#REF!</v>
      </c>
      <c r="BA36" s="613" t="e">
        <f>(Q36+M36)*'Don gia XCSDL DC'!#REF!</f>
        <v>#REF!</v>
      </c>
    </row>
    <row r="37" spans="1:53" ht="20.25" customHeight="1">
      <c r="A37" s="626"/>
      <c r="B37" s="445">
        <v>4</v>
      </c>
      <c r="C37" s="445" t="s">
        <v>304</v>
      </c>
      <c r="D37" s="600">
        <v>15</v>
      </c>
      <c r="E37" s="601">
        <v>15</v>
      </c>
      <c r="F37" s="601">
        <v>1</v>
      </c>
      <c r="G37" s="602">
        <v>1</v>
      </c>
      <c r="H37" s="601"/>
      <c r="I37" s="601"/>
      <c r="J37" s="627">
        <v>216812</v>
      </c>
      <c r="K37" s="604"/>
      <c r="L37" s="604"/>
      <c r="M37" s="605">
        <f t="shared" si="12"/>
        <v>54203</v>
      </c>
      <c r="N37" s="604">
        <f t="shared" si="13"/>
        <v>162609</v>
      </c>
      <c r="O37" s="604">
        <f t="shared" si="14"/>
        <v>150088.10699999999</v>
      </c>
      <c r="P37" s="604">
        <f t="shared" si="15"/>
        <v>146876.05699999997</v>
      </c>
      <c r="Q37" s="604">
        <f t="shared" si="16"/>
        <v>12520.893000000011</v>
      </c>
      <c r="R37" s="604"/>
      <c r="S37" s="558">
        <v>36549</v>
      </c>
      <c r="T37" s="628">
        <f>S37*0.02</f>
        <v>730.98</v>
      </c>
      <c r="U37" s="621">
        <f>64241/20-T37</f>
        <v>2481.0700000000002</v>
      </c>
      <c r="V37" s="604">
        <f t="shared" si="17"/>
        <v>33336.949999999997</v>
      </c>
      <c r="W37" s="604"/>
      <c r="X37" s="607">
        <f t="shared" si="3"/>
        <v>0.37821769077512518</v>
      </c>
      <c r="Y37" s="608">
        <f t="shared" si="18"/>
        <v>438588</v>
      </c>
      <c r="AA37" s="609">
        <f>D37*'Don gia XCSDL DC'!$K$8</f>
        <v>6918.9011215142309</v>
      </c>
      <c r="AB37" s="609">
        <f>D37*'Don gia XCSDL DC'!$K$9</f>
        <v>6601.4752465142319</v>
      </c>
      <c r="AC37" s="609" t="e">
        <f>D37*'Don gia XCSDL DC'!#REF!</f>
        <v>#REF!</v>
      </c>
      <c r="AD37" s="609">
        <f>D37*'Don gia XCSDL DC'!$K$10</f>
        <v>26582.336307543348</v>
      </c>
      <c r="AE37" s="609">
        <f>J37*'Don gia XCSDL DC'!$K$11</f>
        <v>0</v>
      </c>
      <c r="AF37" s="609" t="e">
        <f>S37*'Don gia XCSDL DC'!#REF!</f>
        <v>#REF!</v>
      </c>
      <c r="AG37" s="609" t="e">
        <f>D37*'Don gia XCSDL DC'!#REF!</f>
        <v>#REF!</v>
      </c>
      <c r="AH37" s="609" t="e">
        <f>J37*'Don gia XCSDL DC'!#REF!</f>
        <v>#REF!</v>
      </c>
      <c r="AI37" s="609" t="e">
        <f>D37*'Don gia XCSDL DC'!#REF!</f>
        <v>#REF!</v>
      </c>
      <c r="AJ37" s="609">
        <f>S37*2*'Don gia XCSDL DC'!$K$24</f>
        <v>625030876.97260892</v>
      </c>
      <c r="AK37" s="609" t="e">
        <f>S37*3*'Don gia XCSDL DC'!#REF!</f>
        <v>#REF!</v>
      </c>
      <c r="AL37" s="609" t="e">
        <f>(S37*2+S37*3)*('Don gia XCSDL DC'!#REF!+'Don gia XCSDL DC'!#REF!+'Don gia XCSDL DC'!#REF!)</f>
        <v>#REF!</v>
      </c>
      <c r="AM37" s="609" t="e">
        <f>O37*'Don gia XCSDL DC'!#REF!*50%</f>
        <v>#REF!</v>
      </c>
      <c r="AN37" s="609" t="e">
        <f>T37*'Don gia XCSDL DC'!#REF!*$AN$8</f>
        <v>#REF!</v>
      </c>
      <c r="AO37" s="609" t="e">
        <f>U37*'Don gia XCSDL DC'!#REF!*1</f>
        <v>#REF!</v>
      </c>
      <c r="AP37" s="609" t="e">
        <f>P37*X37*'Don gia XCSDL DC'!#REF!</f>
        <v>#REF!</v>
      </c>
      <c r="AQ37" s="609" t="e">
        <f>Q37*$AQ$8*'Don gia XCSDL DC'!#REF!</f>
        <v>#REF!</v>
      </c>
      <c r="AR37" s="609" t="e">
        <f>M37*$AR$8*'Don gia XCSDL DC'!#REF!</f>
        <v>#REF!</v>
      </c>
      <c r="AS37" s="609" t="e">
        <f>J37*'Don gia XCSDL DC'!#REF!</f>
        <v>#REF!</v>
      </c>
      <c r="AT37" s="609">
        <f>D37*'Don gia XCSDL DC'!$K$26</f>
        <v>0</v>
      </c>
      <c r="AU37" s="609">
        <f>J37*'Don gia XCSDL DC'!$K$34</f>
        <v>0</v>
      </c>
      <c r="AV37" s="609">
        <f>O37*'Don gia XCSDL DC'!$K$37</f>
        <v>0</v>
      </c>
      <c r="AW37" s="610" t="e">
        <f t="shared" si="8"/>
        <v>#REF!</v>
      </c>
      <c r="AX37" s="611" t="e">
        <f t="shared" si="9"/>
        <v>#REF!</v>
      </c>
      <c r="AY37" s="806" t="e">
        <f t="shared" si="6"/>
        <v>#REF!</v>
      </c>
      <c r="AZ37" s="612" t="e">
        <f>D37*'Don gia XCSDL DC'!#REF!</f>
        <v>#REF!</v>
      </c>
      <c r="BA37" s="613" t="e">
        <f>(Q37+M37)*'Don gia XCSDL DC'!#REF!</f>
        <v>#REF!</v>
      </c>
    </row>
    <row r="38" spans="1:53" ht="20.25" customHeight="1">
      <c r="A38" s="626"/>
      <c r="B38" s="445">
        <v>5</v>
      </c>
      <c r="C38" s="445" t="s">
        <v>305</v>
      </c>
      <c r="D38" s="600">
        <v>18</v>
      </c>
      <c r="E38" s="601">
        <v>18</v>
      </c>
      <c r="F38" s="601">
        <v>1</v>
      </c>
      <c r="G38" s="602">
        <v>1</v>
      </c>
      <c r="H38" s="601"/>
      <c r="I38" s="601"/>
      <c r="J38" s="627">
        <v>378009</v>
      </c>
      <c r="K38" s="604"/>
      <c r="L38" s="604"/>
      <c r="M38" s="605">
        <f t="shared" si="12"/>
        <v>94502.25</v>
      </c>
      <c r="N38" s="604">
        <f t="shared" si="13"/>
        <v>283506.75</v>
      </c>
      <c r="O38" s="604">
        <f t="shared" si="14"/>
        <v>261676.73024999999</v>
      </c>
      <c r="P38" s="604">
        <f t="shared" si="15"/>
        <v>254785.98024999999</v>
      </c>
      <c r="Q38" s="604">
        <f t="shared" si="16"/>
        <v>21830.019750000007</v>
      </c>
      <c r="R38" s="604"/>
      <c r="S38" s="558">
        <v>100663</v>
      </c>
      <c r="T38" s="628">
        <f>S38*0.05</f>
        <v>5033.1500000000005</v>
      </c>
      <c r="U38" s="621">
        <f>137815/20-T38</f>
        <v>1857.5999999999995</v>
      </c>
      <c r="V38" s="604">
        <f t="shared" si="17"/>
        <v>93772.25</v>
      </c>
      <c r="W38" s="604"/>
      <c r="X38" s="607">
        <f t="shared" si="3"/>
        <v>0.49168692967461997</v>
      </c>
      <c r="Y38" s="608">
        <f t="shared" si="18"/>
        <v>1207956</v>
      </c>
      <c r="AA38" s="609">
        <f>D38*'Don gia XCSDL DC'!$K$8</f>
        <v>8302.6813458170764</v>
      </c>
      <c r="AB38" s="609">
        <f>D38*'Don gia XCSDL DC'!$K$9</f>
        <v>7921.7702958170776</v>
      </c>
      <c r="AC38" s="609" t="e">
        <f>D38*'Don gia XCSDL DC'!#REF!</f>
        <v>#REF!</v>
      </c>
      <c r="AD38" s="609">
        <f>D38*'Don gia XCSDL DC'!$K$10</f>
        <v>31898.803569052019</v>
      </c>
      <c r="AE38" s="609">
        <f>J38*'Don gia XCSDL DC'!$K$11</f>
        <v>0</v>
      </c>
      <c r="AF38" s="609" t="e">
        <f>S38*'Don gia XCSDL DC'!#REF!</f>
        <v>#REF!</v>
      </c>
      <c r="AG38" s="609" t="e">
        <f>D38*'Don gia XCSDL DC'!#REF!</f>
        <v>#REF!</v>
      </c>
      <c r="AH38" s="609" t="e">
        <f>J38*'Don gia XCSDL DC'!#REF!</f>
        <v>#REF!</v>
      </c>
      <c r="AI38" s="609" t="e">
        <f>D38*'Don gia XCSDL DC'!#REF!</f>
        <v>#REF!</v>
      </c>
      <c r="AJ38" s="609">
        <f>S38*2*'Don gia XCSDL DC'!$K$24</f>
        <v>1721455666.8771713</v>
      </c>
      <c r="AK38" s="609" t="e">
        <f>S38*3*'Don gia XCSDL DC'!#REF!</f>
        <v>#REF!</v>
      </c>
      <c r="AL38" s="609" t="e">
        <f>(S38*2+S38*3)*('Don gia XCSDL DC'!#REF!+'Don gia XCSDL DC'!#REF!+'Don gia XCSDL DC'!#REF!)</f>
        <v>#REF!</v>
      </c>
      <c r="AM38" s="609" t="e">
        <f>O38*'Don gia XCSDL DC'!#REF!*50%</f>
        <v>#REF!</v>
      </c>
      <c r="AN38" s="609" t="e">
        <f>T38*'Don gia XCSDL DC'!#REF!*$AN$8</f>
        <v>#REF!</v>
      </c>
      <c r="AO38" s="609" t="e">
        <f>U38*'Don gia XCSDL DC'!#REF!*1</f>
        <v>#REF!</v>
      </c>
      <c r="AP38" s="609" t="e">
        <f>P38*X38*'Don gia XCSDL DC'!#REF!</f>
        <v>#REF!</v>
      </c>
      <c r="AQ38" s="609" t="e">
        <f>Q38*$AQ$8*'Don gia XCSDL DC'!#REF!</f>
        <v>#REF!</v>
      </c>
      <c r="AR38" s="609" t="e">
        <f>M38*$AR$8*'Don gia XCSDL DC'!#REF!</f>
        <v>#REF!</v>
      </c>
      <c r="AS38" s="609" t="e">
        <f>J38*'Don gia XCSDL DC'!#REF!</f>
        <v>#REF!</v>
      </c>
      <c r="AT38" s="609">
        <f>D38*'Don gia XCSDL DC'!$K$26</f>
        <v>0</v>
      </c>
      <c r="AU38" s="609">
        <f>J38*'Don gia XCSDL DC'!$K$34</f>
        <v>0</v>
      </c>
      <c r="AV38" s="609">
        <f>O38*'Don gia XCSDL DC'!$K$37</f>
        <v>0</v>
      </c>
      <c r="AW38" s="610" t="e">
        <f t="shared" si="8"/>
        <v>#REF!</v>
      </c>
      <c r="AX38" s="611" t="e">
        <f t="shared" si="9"/>
        <v>#REF!</v>
      </c>
      <c r="AY38" s="806" t="e">
        <f t="shared" si="6"/>
        <v>#REF!</v>
      </c>
      <c r="AZ38" s="612" t="e">
        <f>D38*'Don gia XCSDL DC'!#REF!</f>
        <v>#REF!</v>
      </c>
      <c r="BA38" s="613" t="e">
        <f>(Q38+M38)*'Don gia XCSDL DC'!#REF!</f>
        <v>#REF!</v>
      </c>
    </row>
    <row r="39" spans="1:53" ht="20.25" customHeight="1">
      <c r="A39" s="626"/>
      <c r="B39" s="445">
        <v>6</v>
      </c>
      <c r="C39" s="445" t="s">
        <v>306</v>
      </c>
      <c r="D39" s="600">
        <v>21</v>
      </c>
      <c r="E39" s="601">
        <v>21</v>
      </c>
      <c r="F39" s="601">
        <v>1</v>
      </c>
      <c r="G39" s="602">
        <v>1</v>
      </c>
      <c r="H39" s="601"/>
      <c r="I39" s="601"/>
      <c r="J39" s="627">
        <v>348400</v>
      </c>
      <c r="K39" s="604"/>
      <c r="L39" s="604"/>
      <c r="M39" s="605">
        <f t="shared" si="12"/>
        <v>87100</v>
      </c>
      <c r="N39" s="604">
        <f t="shared" si="13"/>
        <v>261300</v>
      </c>
      <c r="O39" s="604">
        <f t="shared" si="14"/>
        <v>241179.9</v>
      </c>
      <c r="P39" s="604">
        <f t="shared" si="15"/>
        <v>234880.59999999998</v>
      </c>
      <c r="Q39" s="604">
        <f t="shared" si="16"/>
        <v>20120.100000000006</v>
      </c>
      <c r="R39" s="604"/>
      <c r="S39" s="558">
        <v>142455</v>
      </c>
      <c r="T39" s="628">
        <f>S39*0.02</f>
        <v>2849.1</v>
      </c>
      <c r="U39" s="621">
        <f>125986/20-T39</f>
        <v>3450.2000000000003</v>
      </c>
      <c r="V39" s="604">
        <f t="shared" si="17"/>
        <v>136155.69999999998</v>
      </c>
      <c r="W39" s="604"/>
      <c r="X39" s="607">
        <f t="shared" si="3"/>
        <v>0.6619169114194523</v>
      </c>
      <c r="Y39" s="608">
        <f t="shared" si="18"/>
        <v>1709460</v>
      </c>
      <c r="AA39" s="609">
        <f>D39*'Don gia XCSDL DC'!$K$8</f>
        <v>9686.4615701199236</v>
      </c>
      <c r="AB39" s="609">
        <f>D39*'Don gia XCSDL DC'!$K$9</f>
        <v>9242.065345119925</v>
      </c>
      <c r="AC39" s="609" t="e">
        <f>D39*'Don gia XCSDL DC'!#REF!</f>
        <v>#REF!</v>
      </c>
      <c r="AD39" s="609">
        <f>D39*'Don gia XCSDL DC'!$K$10</f>
        <v>37215.270830560687</v>
      </c>
      <c r="AE39" s="609">
        <f>J39*'Don gia XCSDL DC'!$K$11</f>
        <v>0</v>
      </c>
      <c r="AF39" s="609" t="e">
        <f>S39*'Don gia XCSDL DC'!#REF!</f>
        <v>#REF!</v>
      </c>
      <c r="AG39" s="609" t="e">
        <f>D39*'Don gia XCSDL DC'!#REF!</f>
        <v>#REF!</v>
      </c>
      <c r="AH39" s="609" t="e">
        <f>J39*'Don gia XCSDL DC'!#REF!</f>
        <v>#REF!</v>
      </c>
      <c r="AI39" s="609" t="e">
        <f>D39*'Don gia XCSDL DC'!#REF!</f>
        <v>#REF!</v>
      </c>
      <c r="AJ39" s="609">
        <f>S39*2*'Don gia XCSDL DC'!$K$24</f>
        <v>2436148008.950532</v>
      </c>
      <c r="AK39" s="609" t="e">
        <f>S39*3*'Don gia XCSDL DC'!#REF!</f>
        <v>#REF!</v>
      </c>
      <c r="AL39" s="609" t="e">
        <f>(S39*2+S39*3)*('Don gia XCSDL DC'!#REF!+'Don gia XCSDL DC'!#REF!+'Don gia XCSDL DC'!#REF!)</f>
        <v>#REF!</v>
      </c>
      <c r="AM39" s="609" t="e">
        <f>O39*'Don gia XCSDL DC'!#REF!*50%</f>
        <v>#REF!</v>
      </c>
      <c r="AN39" s="609" t="e">
        <f>T39*'Don gia XCSDL DC'!#REF!*$AN$8</f>
        <v>#REF!</v>
      </c>
      <c r="AO39" s="609" t="e">
        <f>U39*'Don gia XCSDL DC'!#REF!*1</f>
        <v>#REF!</v>
      </c>
      <c r="AP39" s="609" t="e">
        <f>P39*X39*'Don gia XCSDL DC'!#REF!</f>
        <v>#REF!</v>
      </c>
      <c r="AQ39" s="609" t="e">
        <f>Q39*$AQ$8*'Don gia XCSDL DC'!#REF!</f>
        <v>#REF!</v>
      </c>
      <c r="AR39" s="609" t="e">
        <f>M39*$AR$8*'Don gia XCSDL DC'!#REF!</f>
        <v>#REF!</v>
      </c>
      <c r="AS39" s="609" t="e">
        <f>J39*'Don gia XCSDL DC'!#REF!</f>
        <v>#REF!</v>
      </c>
      <c r="AT39" s="609">
        <f>D39*'Don gia XCSDL DC'!$K$26</f>
        <v>0</v>
      </c>
      <c r="AU39" s="609">
        <f>J39*'Don gia XCSDL DC'!$K$34</f>
        <v>0</v>
      </c>
      <c r="AV39" s="609">
        <f>O39*'Don gia XCSDL DC'!$K$37</f>
        <v>0</v>
      </c>
      <c r="AW39" s="610" t="e">
        <f t="shared" si="8"/>
        <v>#REF!</v>
      </c>
      <c r="AX39" s="611" t="e">
        <f t="shared" si="9"/>
        <v>#REF!</v>
      </c>
      <c r="AY39" s="806" t="e">
        <f t="shared" si="6"/>
        <v>#REF!</v>
      </c>
      <c r="AZ39" s="612" t="e">
        <f>D39*'Don gia XCSDL DC'!#REF!</f>
        <v>#REF!</v>
      </c>
      <c r="BA39" s="613" t="e">
        <f>(Q39+M39)*'Don gia XCSDL DC'!#REF!</f>
        <v>#REF!</v>
      </c>
    </row>
    <row r="40" spans="1:53" s="723" customFormat="1" ht="20.25" customHeight="1">
      <c r="A40" s="735"/>
      <c r="B40" s="713"/>
      <c r="C40" s="713" t="s">
        <v>307</v>
      </c>
      <c r="D40" s="714">
        <v>18</v>
      </c>
      <c r="E40" s="715">
        <v>20</v>
      </c>
      <c r="F40" s="715"/>
      <c r="G40" s="715">
        <v>1</v>
      </c>
      <c r="H40" s="715"/>
      <c r="I40" s="715"/>
      <c r="J40" s="736">
        <v>288158</v>
      </c>
      <c r="K40" s="718"/>
      <c r="L40" s="718">
        <f>90000/4*7+10000</f>
        <v>167500</v>
      </c>
      <c r="M40" s="719"/>
      <c r="N40" s="718"/>
      <c r="O40" s="718"/>
      <c r="P40" s="718"/>
      <c r="Q40" s="718"/>
      <c r="R40" s="718"/>
      <c r="S40" s="737"/>
      <c r="T40" s="738"/>
      <c r="U40" s="730"/>
      <c r="V40" s="718"/>
      <c r="W40" s="718"/>
      <c r="X40" s="721"/>
      <c r="Y40" s="722"/>
      <c r="AA40" s="609"/>
      <c r="AB40" s="609"/>
      <c r="AC40" s="609"/>
      <c r="AD40" s="724"/>
      <c r="AE40" s="724"/>
      <c r="AF40" s="724"/>
      <c r="AG40" s="724"/>
      <c r="AH40" s="724"/>
      <c r="AI40" s="724"/>
      <c r="AJ40" s="724"/>
      <c r="AK40" s="724"/>
      <c r="AL40" s="724"/>
      <c r="AM40" s="724"/>
      <c r="AN40" s="724"/>
      <c r="AO40" s="724"/>
      <c r="AP40" s="724"/>
      <c r="AQ40" s="724"/>
      <c r="AR40" s="724"/>
      <c r="AS40" s="724"/>
      <c r="AT40" s="724"/>
      <c r="AU40" s="724"/>
      <c r="AV40" s="609"/>
      <c r="AW40" s="610"/>
      <c r="AX40" s="611"/>
      <c r="AY40" s="807"/>
      <c r="AZ40" s="612"/>
      <c r="BA40" s="613"/>
    </row>
    <row r="41" spans="1:53" s="723" customFormat="1" ht="20.25" customHeight="1">
      <c r="A41" s="735"/>
      <c r="B41" s="713"/>
      <c r="C41" s="713" t="s">
        <v>308</v>
      </c>
      <c r="D41" s="714">
        <v>27</v>
      </c>
      <c r="E41" s="715">
        <v>27</v>
      </c>
      <c r="F41" s="715"/>
      <c r="G41" s="715">
        <v>1</v>
      </c>
      <c r="H41" s="715"/>
      <c r="I41" s="715"/>
      <c r="J41" s="736">
        <v>255930</v>
      </c>
      <c r="K41" s="718"/>
      <c r="L41" s="718"/>
      <c r="M41" s="719"/>
      <c r="N41" s="718"/>
      <c r="O41" s="737"/>
      <c r="P41" s="718"/>
      <c r="Q41" s="718"/>
      <c r="R41" s="718"/>
      <c r="S41" s="739"/>
      <c r="T41" s="718">
        <f>P41-Q41</f>
        <v>0</v>
      </c>
      <c r="U41" s="730"/>
      <c r="V41" s="718"/>
      <c r="W41" s="718"/>
      <c r="X41" s="721"/>
      <c r="Y41" s="722"/>
      <c r="AA41" s="609"/>
      <c r="AB41" s="609"/>
      <c r="AC41" s="609"/>
      <c r="AD41" s="724"/>
      <c r="AE41" s="724"/>
      <c r="AF41" s="724"/>
      <c r="AG41" s="724"/>
      <c r="AH41" s="724"/>
      <c r="AI41" s="724"/>
      <c r="AJ41" s="724"/>
      <c r="AK41" s="724"/>
      <c r="AL41" s="724"/>
      <c r="AM41" s="724"/>
      <c r="AN41" s="724"/>
      <c r="AO41" s="724"/>
      <c r="AP41" s="724"/>
      <c r="AQ41" s="724"/>
      <c r="AR41" s="724"/>
      <c r="AS41" s="724"/>
      <c r="AT41" s="724"/>
      <c r="AU41" s="724"/>
      <c r="AV41" s="609"/>
      <c r="AW41" s="610"/>
      <c r="AX41" s="611"/>
      <c r="AY41" s="807"/>
      <c r="AZ41" s="612"/>
      <c r="BA41" s="613"/>
    </row>
    <row r="42" spans="1:53" s="723" customFormat="1" ht="20.25" customHeight="1">
      <c r="A42" s="735"/>
      <c r="B42" s="713"/>
      <c r="C42" s="713" t="s">
        <v>309</v>
      </c>
      <c r="D42" s="714">
        <v>24</v>
      </c>
      <c r="E42" s="715">
        <v>24</v>
      </c>
      <c r="F42" s="715"/>
      <c r="G42" s="715">
        <v>1</v>
      </c>
      <c r="H42" s="715"/>
      <c r="I42" s="715"/>
      <c r="J42" s="736">
        <v>283582</v>
      </c>
      <c r="K42" s="716"/>
      <c r="L42" s="740">
        <v>282352</v>
      </c>
      <c r="M42" s="719"/>
      <c r="N42" s="718"/>
      <c r="O42" s="741"/>
      <c r="P42" s="718"/>
      <c r="Q42" s="718"/>
      <c r="R42" s="718"/>
      <c r="S42" s="737"/>
      <c r="T42" s="718"/>
      <c r="U42" s="730"/>
      <c r="V42" s="718"/>
      <c r="W42" s="718"/>
      <c r="X42" s="721"/>
      <c r="Y42" s="722"/>
      <c r="AA42" s="609"/>
      <c r="AB42" s="609"/>
      <c r="AC42" s="609"/>
      <c r="AD42" s="724"/>
      <c r="AE42" s="724"/>
      <c r="AF42" s="724"/>
      <c r="AG42" s="724"/>
      <c r="AH42" s="724"/>
      <c r="AI42" s="724"/>
      <c r="AJ42" s="724"/>
      <c r="AK42" s="724"/>
      <c r="AL42" s="724"/>
      <c r="AM42" s="724"/>
      <c r="AN42" s="724"/>
      <c r="AO42" s="724"/>
      <c r="AP42" s="724"/>
      <c r="AQ42" s="724"/>
      <c r="AR42" s="724"/>
      <c r="AS42" s="724"/>
      <c r="AT42" s="724"/>
      <c r="AU42" s="724"/>
      <c r="AV42" s="609"/>
      <c r="AW42" s="610"/>
      <c r="AX42" s="611"/>
      <c r="AY42" s="807"/>
      <c r="AZ42" s="612"/>
      <c r="BA42" s="613"/>
    </row>
    <row r="43" spans="1:53" s="598" customFormat="1" ht="20.25" customHeight="1">
      <c r="A43" s="589">
        <v>5</v>
      </c>
      <c r="B43" s="1945" t="s">
        <v>310</v>
      </c>
      <c r="C43" s="1945"/>
      <c r="D43" s="594"/>
      <c r="E43" s="595">
        <f>SUM(E44:E48)</f>
        <v>89</v>
      </c>
      <c r="F43" s="595">
        <f>SUM(F44:F48)</f>
        <v>5</v>
      </c>
      <c r="G43" s="596">
        <f>SUM(G44:G52)</f>
        <v>9</v>
      </c>
      <c r="H43" s="595">
        <v>9</v>
      </c>
      <c r="I43" s="595"/>
      <c r="J43" s="595">
        <f t="shared" ref="J43:Q43" si="19">SUM(J44:J48)</f>
        <v>2016111</v>
      </c>
      <c r="K43" s="595">
        <f t="shared" si="19"/>
        <v>535548</v>
      </c>
      <c r="L43" s="595">
        <f t="shared" si="19"/>
        <v>813726</v>
      </c>
      <c r="M43" s="595">
        <f t="shared" si="19"/>
        <v>604833.29999999993</v>
      </c>
      <c r="N43" s="595">
        <f t="shared" si="19"/>
        <v>1411277.7</v>
      </c>
      <c r="O43" s="595">
        <f t="shared" si="19"/>
        <v>1240513.0982999997</v>
      </c>
      <c r="P43" s="595">
        <f t="shared" si="19"/>
        <v>1188052.8316333333</v>
      </c>
      <c r="Q43" s="595">
        <f t="shared" si="19"/>
        <v>8538.2300850000011</v>
      </c>
      <c r="R43" s="595"/>
      <c r="S43" s="595">
        <f>SUM(S44:S48)</f>
        <v>144338</v>
      </c>
      <c r="T43" s="595">
        <f>SUM(T44:T48)</f>
        <v>13242.250000000002</v>
      </c>
      <c r="U43" s="595">
        <f>SUM(U44:U48)</f>
        <v>39218.016666666663</v>
      </c>
      <c r="V43" s="595">
        <f>SUM(V44:V48)</f>
        <v>91877.733333333337</v>
      </c>
      <c r="W43" s="597">
        <f>87.9%</f>
        <v>0.879</v>
      </c>
      <c r="X43" s="607">
        <f t="shared" si="3"/>
        <v>0.25785618799789178</v>
      </c>
      <c r="Y43" s="595">
        <f>SUM(Y44:Y48)</f>
        <v>1732056</v>
      </c>
      <c r="AA43" s="609"/>
      <c r="AB43" s="609"/>
      <c r="AC43" s="609"/>
      <c r="AD43" s="609"/>
      <c r="AE43" s="609"/>
      <c r="AF43" s="609"/>
      <c r="AG43" s="609"/>
      <c r="AH43" s="609"/>
      <c r="AI43" s="609"/>
      <c r="AJ43" s="609"/>
      <c r="AK43" s="609"/>
      <c r="AL43" s="609"/>
      <c r="AM43" s="609"/>
      <c r="AN43" s="609"/>
      <c r="AO43" s="609"/>
      <c r="AP43" s="609"/>
      <c r="AQ43" s="609"/>
      <c r="AR43" s="609"/>
      <c r="AS43" s="609"/>
      <c r="AT43" s="609"/>
      <c r="AU43" s="609"/>
      <c r="AV43" s="609"/>
      <c r="AW43" s="610"/>
      <c r="AX43" s="611"/>
      <c r="AY43" s="806"/>
      <c r="AZ43" s="612"/>
      <c r="BA43" s="613"/>
    </row>
    <row r="44" spans="1:53" ht="20.25" customHeight="1">
      <c r="A44" s="599"/>
      <c r="B44" s="445">
        <v>1</v>
      </c>
      <c r="C44" s="445" t="s">
        <v>311</v>
      </c>
      <c r="D44" s="600">
        <v>17</v>
      </c>
      <c r="E44" s="601">
        <v>17</v>
      </c>
      <c r="F44" s="601">
        <v>1</v>
      </c>
      <c r="G44" s="602">
        <v>1</v>
      </c>
      <c r="H44" s="601"/>
      <c r="I44" s="630"/>
      <c r="J44" s="631">
        <v>202025</v>
      </c>
      <c r="K44" s="604">
        <v>151914</v>
      </c>
      <c r="L44" s="604">
        <v>151914</v>
      </c>
      <c r="M44" s="605">
        <f>J44*30%</f>
        <v>60607.5</v>
      </c>
      <c r="N44" s="604">
        <f>J44-M44</f>
        <v>141417.5</v>
      </c>
      <c r="O44" s="604">
        <f>$N44*$W$43</f>
        <v>124305.9825</v>
      </c>
      <c r="P44" s="604">
        <f>O44-T44-U44</f>
        <v>104633.38249999999</v>
      </c>
      <c r="Q44" s="604">
        <f>(N44-O44)*5%</f>
        <v>855.57587500000011</v>
      </c>
      <c r="R44" s="632"/>
      <c r="S44" s="633">
        <v>40169</v>
      </c>
      <c r="T44" s="604">
        <f>S44*0.2</f>
        <v>8033.8</v>
      </c>
      <c r="U44" s="621">
        <f>98363/5-T44</f>
        <v>11638.8</v>
      </c>
      <c r="V44" s="604">
        <f>S44-T44-U44</f>
        <v>20496.400000000001</v>
      </c>
      <c r="W44" s="604"/>
      <c r="X44" s="607">
        <f t="shared" si="3"/>
        <v>0.35321407613491512</v>
      </c>
      <c r="Y44" s="608">
        <f>S44*12</f>
        <v>482028</v>
      </c>
      <c r="AA44" s="609">
        <f>D44*'Don gia XCSDL DC'!$K$8</f>
        <v>7841.4212710494612</v>
      </c>
      <c r="AB44" s="609">
        <f>D44*'Don gia XCSDL DC'!$K$9</f>
        <v>7481.6719460494623</v>
      </c>
      <c r="AC44" s="609" t="e">
        <f>D44*'Don gia XCSDL DC'!#REF!</f>
        <v>#REF!</v>
      </c>
      <c r="AD44" s="609">
        <f>D44*'Don gia XCSDL DC'!$K$10</f>
        <v>30126.647815215798</v>
      </c>
      <c r="AE44" s="609">
        <f>J44*'Don gia XCSDL DC'!$K$11</f>
        <v>0</v>
      </c>
      <c r="AF44" s="609" t="e">
        <f>S44*'Don gia XCSDL DC'!#REF!</f>
        <v>#REF!</v>
      </c>
      <c r="AG44" s="609" t="e">
        <f>D44*'Don gia XCSDL DC'!#REF!</f>
        <v>#REF!</v>
      </c>
      <c r="AH44" s="609" t="e">
        <f>J44*'Don gia XCSDL DC'!#REF!</f>
        <v>#REF!</v>
      </c>
      <c r="AI44" s="609" t="e">
        <f>D44*'Don gia XCSDL DC'!#REF!</f>
        <v>#REF!</v>
      </c>
      <c r="AJ44" s="609">
        <f>S44*2*'Don gia XCSDL DC'!$K$24</f>
        <v>686937133.63191128</v>
      </c>
      <c r="AK44" s="609" t="e">
        <f>S44*3*'Don gia XCSDL DC'!#REF!</f>
        <v>#REF!</v>
      </c>
      <c r="AL44" s="609" t="e">
        <f>(S44*2+S44*3)*('Don gia XCSDL DC'!#REF!+'Don gia XCSDL DC'!#REF!+'Don gia XCSDL DC'!#REF!)</f>
        <v>#REF!</v>
      </c>
      <c r="AM44" s="609" t="e">
        <f>O44*'Don gia XCSDL DC'!#REF!*50%</f>
        <v>#REF!</v>
      </c>
      <c r="AN44" s="609" t="e">
        <f>T44*'Don gia XCSDL DC'!#REF!*$AN$8</f>
        <v>#REF!</v>
      </c>
      <c r="AO44" s="609" t="e">
        <f>U44*'Don gia XCSDL DC'!#REF!*1</f>
        <v>#REF!</v>
      </c>
      <c r="AP44" s="609" t="e">
        <f>P44*X44*'Don gia XCSDL DC'!#REF!</f>
        <v>#REF!</v>
      </c>
      <c r="AQ44" s="609" t="e">
        <f>Q44*$AQ$8*'Don gia XCSDL DC'!#REF!</f>
        <v>#REF!</v>
      </c>
      <c r="AR44" s="609" t="e">
        <f>M44*$AR$8*'Don gia XCSDL DC'!#REF!</f>
        <v>#REF!</v>
      </c>
      <c r="AS44" s="609" t="e">
        <f>J44*'Don gia XCSDL DC'!#REF!</f>
        <v>#REF!</v>
      </c>
      <c r="AT44" s="609">
        <f>D44*'Don gia XCSDL DC'!$K$26</f>
        <v>0</v>
      </c>
      <c r="AU44" s="609">
        <f>J44*'Don gia XCSDL DC'!$K$34</f>
        <v>0</v>
      </c>
      <c r="AV44" s="609">
        <f>O44*'Don gia XCSDL DC'!$K$37</f>
        <v>0</v>
      </c>
      <c r="AW44" s="610" t="e">
        <f t="shared" si="8"/>
        <v>#REF!</v>
      </c>
      <c r="AX44" s="611" t="e">
        <f t="shared" si="9"/>
        <v>#REF!</v>
      </c>
      <c r="AY44" s="806" t="e">
        <f t="shared" si="6"/>
        <v>#REF!</v>
      </c>
      <c r="AZ44" s="612" t="e">
        <f>D44*'Don gia XCSDL DC'!#REF!</f>
        <v>#REF!</v>
      </c>
      <c r="BA44" s="613" t="e">
        <f>(Q44+M44)*'Don gia XCSDL DC'!#REF!</f>
        <v>#REF!</v>
      </c>
    </row>
    <row r="45" spans="1:53" ht="20.25" customHeight="1">
      <c r="A45" s="599"/>
      <c r="B45" s="445">
        <v>2</v>
      </c>
      <c r="C45" s="445" t="s">
        <v>312</v>
      </c>
      <c r="D45" s="600">
        <v>18</v>
      </c>
      <c r="E45" s="601">
        <v>18</v>
      </c>
      <c r="F45" s="601">
        <v>1</v>
      </c>
      <c r="G45" s="602">
        <v>1</v>
      </c>
      <c r="H45" s="601"/>
      <c r="I45" s="630"/>
      <c r="J45" s="634">
        <v>628578</v>
      </c>
      <c r="K45" s="604">
        <v>235569</v>
      </c>
      <c r="L45" s="604">
        <f>44574/4*12+12000</f>
        <v>145722</v>
      </c>
      <c r="M45" s="605">
        <f>J45*30%</f>
        <v>188573.4</v>
      </c>
      <c r="N45" s="604">
        <f>J45-M45</f>
        <v>440004.6</v>
      </c>
      <c r="O45" s="604">
        <f>$N45*$W$43</f>
        <v>386764.04339999997</v>
      </c>
      <c r="P45" s="604">
        <f>O45-T45-U45</f>
        <v>378567.12673333328</v>
      </c>
      <c r="Q45" s="604">
        <f>(N45-O45)*5%</f>
        <v>2662.0278300000009</v>
      </c>
      <c r="R45" s="632"/>
      <c r="S45" s="635">
        <v>13784</v>
      </c>
      <c r="T45" s="604">
        <f>S45*0.05</f>
        <v>689.2</v>
      </c>
      <c r="U45" s="621">
        <f>98363/12-T45</f>
        <v>7507.7166666666662</v>
      </c>
      <c r="V45" s="604">
        <f>S45-T45-U45</f>
        <v>5587.083333333333</v>
      </c>
      <c r="W45" s="604"/>
      <c r="X45" s="607">
        <f t="shared" si="3"/>
        <v>0.2075231421402951</v>
      </c>
      <c r="Y45" s="608">
        <f>S45*12</f>
        <v>165408</v>
      </c>
      <c r="AA45" s="609">
        <f>D45*'Don gia XCSDL DC'!$K$8</f>
        <v>8302.6813458170764</v>
      </c>
      <c r="AB45" s="609">
        <f>D45*'Don gia XCSDL DC'!$K$9</f>
        <v>7921.7702958170776</v>
      </c>
      <c r="AC45" s="609" t="e">
        <f>D45*'Don gia XCSDL DC'!#REF!</f>
        <v>#REF!</v>
      </c>
      <c r="AD45" s="609">
        <f>D45*'Don gia XCSDL DC'!$K$10</f>
        <v>31898.803569052019</v>
      </c>
      <c r="AE45" s="609">
        <f>J45*'Don gia XCSDL DC'!$K$11</f>
        <v>0</v>
      </c>
      <c r="AF45" s="609" t="e">
        <f>S45*'Don gia XCSDL DC'!#REF!</f>
        <v>#REF!</v>
      </c>
      <c r="AG45" s="609" t="e">
        <f>D45*'Don gia XCSDL DC'!#REF!</f>
        <v>#REF!</v>
      </c>
      <c r="AH45" s="609" t="e">
        <f>J45*'Don gia XCSDL DC'!#REF!</f>
        <v>#REF!</v>
      </c>
      <c r="AI45" s="609" t="e">
        <f>D45*'Don gia XCSDL DC'!#REF!</f>
        <v>#REF!</v>
      </c>
      <c r="AJ45" s="609">
        <f>S45*2*'Don gia XCSDL DC'!$K$24</f>
        <v>235722608.2297858</v>
      </c>
      <c r="AK45" s="609" t="e">
        <f>S45*3*'Don gia XCSDL DC'!#REF!</f>
        <v>#REF!</v>
      </c>
      <c r="AL45" s="609" t="e">
        <f>(S45*2+S45*3)*('Don gia XCSDL DC'!#REF!+'Don gia XCSDL DC'!#REF!+'Don gia XCSDL DC'!#REF!)</f>
        <v>#REF!</v>
      </c>
      <c r="AM45" s="609" t="e">
        <f>O45*'Don gia XCSDL DC'!#REF!*50%</f>
        <v>#REF!</v>
      </c>
      <c r="AN45" s="609" t="e">
        <f>T45*'Don gia XCSDL DC'!#REF!*$AN$8</f>
        <v>#REF!</v>
      </c>
      <c r="AO45" s="609" t="e">
        <f>U45*'Don gia XCSDL DC'!#REF!*1</f>
        <v>#REF!</v>
      </c>
      <c r="AP45" s="609" t="e">
        <f>P45*X45*'Don gia XCSDL DC'!#REF!</f>
        <v>#REF!</v>
      </c>
      <c r="AQ45" s="609" t="e">
        <f>Q45*$AQ$8*'Don gia XCSDL DC'!#REF!</f>
        <v>#REF!</v>
      </c>
      <c r="AR45" s="609" t="e">
        <f>M45*$AR$8*'Don gia XCSDL DC'!#REF!</f>
        <v>#REF!</v>
      </c>
      <c r="AS45" s="609" t="e">
        <f>J45*'Don gia XCSDL DC'!#REF!</f>
        <v>#REF!</v>
      </c>
      <c r="AT45" s="609">
        <f>D45*'Don gia XCSDL DC'!$K$26</f>
        <v>0</v>
      </c>
      <c r="AU45" s="609">
        <f>J45*'Don gia XCSDL DC'!$K$34</f>
        <v>0</v>
      </c>
      <c r="AV45" s="609">
        <f>O45*'Don gia XCSDL DC'!$K$37</f>
        <v>0</v>
      </c>
      <c r="AW45" s="610" t="e">
        <f t="shared" si="8"/>
        <v>#REF!</v>
      </c>
      <c r="AX45" s="611" t="e">
        <f t="shared" si="9"/>
        <v>#REF!</v>
      </c>
      <c r="AY45" s="806" t="e">
        <f t="shared" si="6"/>
        <v>#REF!</v>
      </c>
      <c r="AZ45" s="612" t="e">
        <f>D45*'Don gia XCSDL DC'!#REF!</f>
        <v>#REF!</v>
      </c>
      <c r="BA45" s="613" t="e">
        <f>(Q45+M45)*'Don gia XCSDL DC'!#REF!</f>
        <v>#REF!</v>
      </c>
    </row>
    <row r="46" spans="1:53" ht="20.25" customHeight="1">
      <c r="A46" s="599"/>
      <c r="B46" s="445">
        <v>3</v>
      </c>
      <c r="C46" s="445" t="s">
        <v>313</v>
      </c>
      <c r="D46" s="600">
        <v>15</v>
      </c>
      <c r="E46" s="601">
        <v>15</v>
      </c>
      <c r="F46" s="601">
        <v>1</v>
      </c>
      <c r="G46" s="602">
        <v>1</v>
      </c>
      <c r="H46" s="601"/>
      <c r="I46" s="630"/>
      <c r="J46" s="634">
        <v>540238</v>
      </c>
      <c r="K46" s="604">
        <v>148065</v>
      </c>
      <c r="L46" s="604">
        <v>148065</v>
      </c>
      <c r="M46" s="605">
        <f>J46*30%</f>
        <v>162071.4</v>
      </c>
      <c r="N46" s="604">
        <f>J46-M46</f>
        <v>378166.6</v>
      </c>
      <c r="O46" s="604">
        <f>$N46*$W$43</f>
        <v>332408.44139999995</v>
      </c>
      <c r="P46" s="604">
        <f>O46-T46-U46</f>
        <v>324211.52473333327</v>
      </c>
      <c r="Q46" s="604">
        <f>(N46-O46)*5%</f>
        <v>2287.9079300000012</v>
      </c>
      <c r="R46" s="632"/>
      <c r="S46" s="635">
        <v>43554</v>
      </c>
      <c r="T46" s="604">
        <f>S46*0.05</f>
        <v>2177.7000000000003</v>
      </c>
      <c r="U46" s="621">
        <f>98363/12-T46</f>
        <v>6019.2166666666653</v>
      </c>
      <c r="V46" s="604">
        <f>S46-T46-U46</f>
        <v>35357.083333333336</v>
      </c>
      <c r="W46" s="604"/>
      <c r="X46" s="607">
        <f t="shared" si="3"/>
        <v>0.28337081111859524</v>
      </c>
      <c r="Y46" s="608">
        <f>S46*12</f>
        <v>522648</v>
      </c>
      <c r="AA46" s="609">
        <f>D46*'Don gia XCSDL DC'!$K$8</f>
        <v>6918.9011215142309</v>
      </c>
      <c r="AB46" s="609">
        <f>D46*'Don gia XCSDL DC'!$K$9</f>
        <v>6601.4752465142319</v>
      </c>
      <c r="AC46" s="609" t="e">
        <f>D46*'Don gia XCSDL DC'!#REF!</f>
        <v>#REF!</v>
      </c>
      <c r="AD46" s="609">
        <f>D46*'Don gia XCSDL DC'!$K$10</f>
        <v>26582.336307543348</v>
      </c>
      <c r="AE46" s="609">
        <f>J46*'Don gia XCSDL DC'!$K$11</f>
        <v>0</v>
      </c>
      <c r="AF46" s="609" t="e">
        <f>S46*'Don gia XCSDL DC'!#REF!</f>
        <v>#REF!</v>
      </c>
      <c r="AG46" s="609" t="e">
        <f>D46*'Don gia XCSDL DC'!#REF!</f>
        <v>#REF!</v>
      </c>
      <c r="AH46" s="609" t="e">
        <f>J46*'Don gia XCSDL DC'!#REF!</f>
        <v>#REF!</v>
      </c>
      <c r="AI46" s="609" t="e">
        <f>D46*'Don gia XCSDL DC'!#REF!</f>
        <v>#REF!</v>
      </c>
      <c r="AJ46" s="609">
        <f>S46*2*'Don gia XCSDL DC'!$K$24</f>
        <v>744824613.96112084</v>
      </c>
      <c r="AK46" s="609" t="e">
        <f>S46*3*'Don gia XCSDL DC'!#REF!</f>
        <v>#REF!</v>
      </c>
      <c r="AL46" s="609" t="e">
        <f>(S46*2+S46*3)*('Don gia XCSDL DC'!#REF!+'Don gia XCSDL DC'!#REF!+'Don gia XCSDL DC'!#REF!)</f>
        <v>#REF!</v>
      </c>
      <c r="AM46" s="609" t="e">
        <f>O46*'Don gia XCSDL DC'!#REF!*50%</f>
        <v>#REF!</v>
      </c>
      <c r="AN46" s="609" t="e">
        <f>T46*'Don gia XCSDL DC'!#REF!*$AN$8</f>
        <v>#REF!</v>
      </c>
      <c r="AO46" s="609" t="e">
        <f>U46*'Don gia XCSDL DC'!#REF!*1</f>
        <v>#REF!</v>
      </c>
      <c r="AP46" s="609" t="e">
        <f>P46*X46*'Don gia XCSDL DC'!#REF!</f>
        <v>#REF!</v>
      </c>
      <c r="AQ46" s="609" t="e">
        <f>Q46*$AQ$8*'Don gia XCSDL DC'!#REF!</f>
        <v>#REF!</v>
      </c>
      <c r="AR46" s="609" t="e">
        <f>M46*$AR$8*'Don gia XCSDL DC'!#REF!</f>
        <v>#REF!</v>
      </c>
      <c r="AS46" s="609" t="e">
        <f>J46*'Don gia XCSDL DC'!#REF!</f>
        <v>#REF!</v>
      </c>
      <c r="AT46" s="609">
        <f>D46*'Don gia XCSDL DC'!$K$26</f>
        <v>0</v>
      </c>
      <c r="AU46" s="609">
        <f>J46*'Don gia XCSDL DC'!$K$34</f>
        <v>0</v>
      </c>
      <c r="AV46" s="609">
        <f>O46*'Don gia XCSDL DC'!$K$37</f>
        <v>0</v>
      </c>
      <c r="AW46" s="610" t="e">
        <f t="shared" si="8"/>
        <v>#REF!</v>
      </c>
      <c r="AX46" s="611" t="e">
        <f t="shared" si="9"/>
        <v>#REF!</v>
      </c>
      <c r="AY46" s="806" t="e">
        <f t="shared" si="6"/>
        <v>#REF!</v>
      </c>
      <c r="AZ46" s="612" t="e">
        <f>D46*'Don gia XCSDL DC'!#REF!</f>
        <v>#REF!</v>
      </c>
      <c r="BA46" s="613" t="e">
        <f>(Q46+M46)*'Don gia XCSDL DC'!#REF!</f>
        <v>#REF!</v>
      </c>
    </row>
    <row r="47" spans="1:53" ht="20.25" customHeight="1">
      <c r="A47" s="599"/>
      <c r="B47" s="445">
        <v>4</v>
      </c>
      <c r="C47" s="445" t="s">
        <v>314</v>
      </c>
      <c r="D47" s="600">
        <v>21</v>
      </c>
      <c r="E47" s="601">
        <v>21</v>
      </c>
      <c r="F47" s="601">
        <v>1</v>
      </c>
      <c r="G47" s="602">
        <v>1</v>
      </c>
      <c r="H47" s="601"/>
      <c r="I47" s="630"/>
      <c r="J47" s="634">
        <v>383271</v>
      </c>
      <c r="K47" s="604"/>
      <c r="L47" s="604">
        <f>49334/4*12+5000</f>
        <v>153002</v>
      </c>
      <c r="M47" s="605">
        <f>J47*30%</f>
        <v>114981.3</v>
      </c>
      <c r="N47" s="604">
        <f>J47-M47</f>
        <v>268289.7</v>
      </c>
      <c r="O47" s="604">
        <f>$N47*$W$43</f>
        <v>235826.64630000002</v>
      </c>
      <c r="P47" s="604">
        <f>O47-T47-U47</f>
        <v>227629.72963333334</v>
      </c>
      <c r="Q47" s="604">
        <f>(N47-O47)*5%</f>
        <v>1623.1526849999996</v>
      </c>
      <c r="R47" s="632"/>
      <c r="S47" s="635">
        <v>13984</v>
      </c>
      <c r="T47" s="604">
        <f>S47*0.05</f>
        <v>699.2</v>
      </c>
      <c r="U47" s="621">
        <f>98363/12-T47</f>
        <v>7497.7166666666662</v>
      </c>
      <c r="V47" s="604">
        <f>S47-T47-U47</f>
        <v>5787.083333333333</v>
      </c>
      <c r="W47" s="604"/>
      <c r="X47" s="607">
        <f t="shared" si="3"/>
        <v>0.21610129497490449</v>
      </c>
      <c r="Y47" s="608">
        <f>S47*12</f>
        <v>167808</v>
      </c>
      <c r="AA47" s="609">
        <f>D47*'Don gia XCSDL DC'!$K$8</f>
        <v>9686.4615701199236</v>
      </c>
      <c r="AB47" s="609">
        <f>D47*'Don gia XCSDL DC'!$K$9</f>
        <v>9242.065345119925</v>
      </c>
      <c r="AC47" s="609" t="e">
        <f>D47*'Don gia XCSDL DC'!#REF!</f>
        <v>#REF!</v>
      </c>
      <c r="AD47" s="609">
        <f>D47*'Don gia XCSDL DC'!$K$10</f>
        <v>37215.270830560687</v>
      </c>
      <c r="AE47" s="609">
        <f>J47*'Don gia XCSDL DC'!$K$11</f>
        <v>0</v>
      </c>
      <c r="AF47" s="609" t="e">
        <f>S47*'Don gia XCSDL DC'!#REF!</f>
        <v>#REF!</v>
      </c>
      <c r="AG47" s="609" t="e">
        <f>D47*'Don gia XCSDL DC'!#REF!</f>
        <v>#REF!</v>
      </c>
      <c r="AH47" s="609" t="e">
        <f>J47*'Don gia XCSDL DC'!#REF!</f>
        <v>#REF!</v>
      </c>
      <c r="AI47" s="609" t="e">
        <f>D47*'Don gia XCSDL DC'!#REF!</f>
        <v>#REF!</v>
      </c>
      <c r="AJ47" s="609">
        <f>S47*2*'Don gia XCSDL DC'!$K$24</f>
        <v>239142843.40433288</v>
      </c>
      <c r="AK47" s="609" t="e">
        <f>S47*3*'Don gia XCSDL DC'!#REF!</f>
        <v>#REF!</v>
      </c>
      <c r="AL47" s="609" t="e">
        <f>(S47*2+S47*3)*('Don gia XCSDL DC'!#REF!+'Don gia XCSDL DC'!#REF!+'Don gia XCSDL DC'!#REF!)</f>
        <v>#REF!</v>
      </c>
      <c r="AM47" s="609" t="e">
        <f>O47*'Don gia XCSDL DC'!#REF!*50%</f>
        <v>#REF!</v>
      </c>
      <c r="AN47" s="609" t="e">
        <f>T47*'Don gia XCSDL DC'!#REF!*$AN$8</f>
        <v>#REF!</v>
      </c>
      <c r="AO47" s="609" t="e">
        <f>U47*'Don gia XCSDL DC'!#REF!*1</f>
        <v>#REF!</v>
      </c>
      <c r="AP47" s="609" t="e">
        <f>P47*X47*'Don gia XCSDL DC'!#REF!</f>
        <v>#REF!</v>
      </c>
      <c r="AQ47" s="609" t="e">
        <f>Q47*$AQ$8*'Don gia XCSDL DC'!#REF!</f>
        <v>#REF!</v>
      </c>
      <c r="AR47" s="609" t="e">
        <f>M47*$AR$8*'Don gia XCSDL DC'!#REF!</f>
        <v>#REF!</v>
      </c>
      <c r="AS47" s="609" t="e">
        <f>J47*'Don gia XCSDL DC'!#REF!</f>
        <v>#REF!</v>
      </c>
      <c r="AT47" s="609">
        <f>D47*'Don gia XCSDL DC'!$K$26</f>
        <v>0</v>
      </c>
      <c r="AU47" s="609">
        <f>J47*'Don gia XCSDL DC'!$K$34</f>
        <v>0</v>
      </c>
      <c r="AV47" s="609">
        <f>O47*'Don gia XCSDL DC'!$K$37</f>
        <v>0</v>
      </c>
      <c r="AW47" s="610" t="e">
        <f t="shared" si="8"/>
        <v>#REF!</v>
      </c>
      <c r="AX47" s="611" t="e">
        <f t="shared" si="9"/>
        <v>#REF!</v>
      </c>
      <c r="AY47" s="806" t="e">
        <f t="shared" si="6"/>
        <v>#REF!</v>
      </c>
      <c r="AZ47" s="612" t="e">
        <f>D47*'Don gia XCSDL DC'!#REF!</f>
        <v>#REF!</v>
      </c>
      <c r="BA47" s="613" t="e">
        <f>(Q47+M47)*'Don gia XCSDL DC'!#REF!</f>
        <v>#REF!</v>
      </c>
    </row>
    <row r="48" spans="1:53" ht="20.25" customHeight="1">
      <c r="A48" s="599"/>
      <c r="B48" s="445">
        <v>5</v>
      </c>
      <c r="C48" s="445" t="s">
        <v>315</v>
      </c>
      <c r="D48" s="600">
        <v>18</v>
      </c>
      <c r="E48" s="601">
        <v>18</v>
      </c>
      <c r="F48" s="601">
        <v>1</v>
      </c>
      <c r="G48" s="602">
        <v>1</v>
      </c>
      <c r="H48" s="601"/>
      <c r="I48" s="630"/>
      <c r="J48" s="634">
        <v>261999</v>
      </c>
      <c r="K48" s="604"/>
      <c r="L48" s="604">
        <f>68341/4*12+10000</f>
        <v>215023</v>
      </c>
      <c r="M48" s="605">
        <f>J48*30%</f>
        <v>78599.7</v>
      </c>
      <c r="N48" s="604">
        <f>J48-M48</f>
        <v>183399.3</v>
      </c>
      <c r="O48" s="604">
        <f>$N48*$W$43</f>
        <v>161207.9847</v>
      </c>
      <c r="P48" s="604">
        <f>O48-T48-U48</f>
        <v>153011.06803333334</v>
      </c>
      <c r="Q48" s="604">
        <f>(N48-O48)*5%</f>
        <v>1109.5657649999994</v>
      </c>
      <c r="R48" s="632"/>
      <c r="S48" s="635">
        <v>32847</v>
      </c>
      <c r="T48" s="604">
        <f>S48*0.05</f>
        <v>1642.3500000000001</v>
      </c>
      <c r="U48" s="621">
        <f>98363/12-T48</f>
        <v>6554.5666666666657</v>
      </c>
      <c r="V48" s="604">
        <f>S48-T48-U48</f>
        <v>24650.083333333336</v>
      </c>
      <c r="W48" s="604"/>
      <c r="X48" s="607">
        <f t="shared" si="3"/>
        <v>0.32523261013161586</v>
      </c>
      <c r="Y48" s="608">
        <f>S48*12</f>
        <v>394164</v>
      </c>
      <c r="AA48" s="609">
        <f>D48*'Don gia XCSDL DC'!$K$8</f>
        <v>8302.6813458170764</v>
      </c>
      <c r="AB48" s="609">
        <f>D48*'Don gia XCSDL DC'!$K$9</f>
        <v>7921.7702958170776</v>
      </c>
      <c r="AC48" s="609" t="e">
        <f>D48*'Don gia XCSDL DC'!#REF!</f>
        <v>#REF!</v>
      </c>
      <c r="AD48" s="609">
        <f>D48*'Don gia XCSDL DC'!$K$10</f>
        <v>31898.803569052019</v>
      </c>
      <c r="AE48" s="609">
        <f>J48*'Don gia XCSDL DC'!$K$11</f>
        <v>0</v>
      </c>
      <c r="AF48" s="609" t="e">
        <f>S48*'Don gia XCSDL DC'!#REF!</f>
        <v>#REF!</v>
      </c>
      <c r="AG48" s="609" t="e">
        <f>D48*'Don gia XCSDL DC'!#REF!</f>
        <v>#REF!</v>
      </c>
      <c r="AH48" s="609" t="e">
        <f>J48*'Don gia XCSDL DC'!#REF!</f>
        <v>#REF!</v>
      </c>
      <c r="AI48" s="609" t="e">
        <f>D48*'Don gia XCSDL DC'!#REF!</f>
        <v>#REF!</v>
      </c>
      <c r="AJ48" s="609">
        <f>S48*2*'Don gia XCSDL DC'!$K$24</f>
        <v>561722323.89174211</v>
      </c>
      <c r="AK48" s="609" t="e">
        <f>S48*3*'Don gia XCSDL DC'!#REF!</f>
        <v>#REF!</v>
      </c>
      <c r="AL48" s="609" t="e">
        <f>(S48*2+S48*3)*('Don gia XCSDL DC'!#REF!+'Don gia XCSDL DC'!#REF!+'Don gia XCSDL DC'!#REF!)</f>
        <v>#REF!</v>
      </c>
      <c r="AM48" s="609" t="e">
        <f>O48*'Don gia XCSDL DC'!#REF!*50%</f>
        <v>#REF!</v>
      </c>
      <c r="AN48" s="609" t="e">
        <f>T48*'Don gia XCSDL DC'!#REF!*$AN$8</f>
        <v>#REF!</v>
      </c>
      <c r="AO48" s="609" t="e">
        <f>U48*'Don gia XCSDL DC'!#REF!*1</f>
        <v>#REF!</v>
      </c>
      <c r="AP48" s="609" t="e">
        <f>P48*X48*'Don gia XCSDL DC'!#REF!</f>
        <v>#REF!</v>
      </c>
      <c r="AQ48" s="609" t="e">
        <f>Q48*$AQ$8*'Don gia XCSDL DC'!#REF!</f>
        <v>#REF!</v>
      </c>
      <c r="AR48" s="609" t="e">
        <f>M48*$AR$8*'Don gia XCSDL DC'!#REF!</f>
        <v>#REF!</v>
      </c>
      <c r="AS48" s="609" t="e">
        <f>J48*'Don gia XCSDL DC'!#REF!</f>
        <v>#REF!</v>
      </c>
      <c r="AT48" s="609">
        <f>D48*'Don gia XCSDL DC'!$K$26</f>
        <v>0</v>
      </c>
      <c r="AU48" s="609">
        <f>J48*'Don gia XCSDL DC'!$K$34</f>
        <v>0</v>
      </c>
      <c r="AV48" s="609">
        <f>O48*'Don gia XCSDL DC'!$K$37</f>
        <v>0</v>
      </c>
      <c r="AW48" s="610" t="e">
        <f t="shared" si="8"/>
        <v>#REF!</v>
      </c>
      <c r="AX48" s="611" t="e">
        <f t="shared" si="9"/>
        <v>#REF!</v>
      </c>
      <c r="AY48" s="806" t="e">
        <f t="shared" si="6"/>
        <v>#REF!</v>
      </c>
      <c r="AZ48" s="612" t="e">
        <f>D48*'Don gia XCSDL DC'!#REF!</f>
        <v>#REF!</v>
      </c>
      <c r="BA48" s="613" t="e">
        <f>(Q48+M48)*'Don gia XCSDL DC'!#REF!</f>
        <v>#REF!</v>
      </c>
    </row>
    <row r="49" spans="1:56" s="723" customFormat="1" ht="20.25" customHeight="1">
      <c r="A49" s="712"/>
      <c r="B49" s="713"/>
      <c r="C49" s="713" t="s">
        <v>316</v>
      </c>
      <c r="D49" s="714">
        <v>23</v>
      </c>
      <c r="E49" s="715">
        <v>23</v>
      </c>
      <c r="F49" s="715"/>
      <c r="G49" s="718">
        <v>1</v>
      </c>
      <c r="H49" s="715"/>
      <c r="I49" s="742"/>
      <c r="J49" s="743">
        <v>371478</v>
      </c>
      <c r="K49" s="716"/>
      <c r="L49" s="734">
        <v>387004</v>
      </c>
      <c r="M49" s="719"/>
      <c r="N49" s="718"/>
      <c r="O49" s="718"/>
      <c r="P49" s="718"/>
      <c r="Q49" s="718"/>
      <c r="R49" s="718"/>
      <c r="S49" s="718"/>
      <c r="T49" s="718"/>
      <c r="U49" s="730"/>
      <c r="V49" s="718"/>
      <c r="W49" s="718"/>
      <c r="X49" s="721"/>
      <c r="Y49" s="722"/>
      <c r="AA49" s="609"/>
      <c r="AB49" s="609"/>
      <c r="AC49" s="609"/>
      <c r="AD49" s="724"/>
      <c r="AE49" s="724"/>
      <c r="AF49" s="724"/>
      <c r="AG49" s="724"/>
      <c r="AH49" s="724"/>
      <c r="AI49" s="724"/>
      <c r="AJ49" s="724"/>
      <c r="AK49" s="724"/>
      <c r="AL49" s="724"/>
      <c r="AM49" s="724"/>
      <c r="AN49" s="724"/>
      <c r="AO49" s="724"/>
      <c r="AP49" s="724"/>
      <c r="AQ49" s="724"/>
      <c r="AR49" s="724"/>
      <c r="AS49" s="724"/>
      <c r="AT49" s="724"/>
      <c r="AU49" s="724"/>
      <c r="AV49" s="609"/>
      <c r="AW49" s="610"/>
      <c r="AX49" s="611"/>
      <c r="AY49" s="807"/>
      <c r="AZ49" s="612"/>
      <c r="BA49" s="613"/>
      <c r="BB49" s="744"/>
      <c r="BC49" s="744"/>
      <c r="BD49" s="744"/>
    </row>
    <row r="50" spans="1:56" s="718" customFormat="1" ht="20.25" customHeight="1">
      <c r="C50" s="713" t="s">
        <v>317</v>
      </c>
      <c r="D50" s="714">
        <v>16</v>
      </c>
      <c r="E50" s="718">
        <v>16</v>
      </c>
      <c r="G50" s="718">
        <v>1</v>
      </c>
      <c r="J50" s="717">
        <v>329432</v>
      </c>
      <c r="X50" s="721"/>
      <c r="AA50" s="609"/>
      <c r="AB50" s="609"/>
      <c r="AC50" s="609"/>
      <c r="AD50" s="724"/>
      <c r="AE50" s="724"/>
      <c r="AF50" s="724"/>
      <c r="AG50" s="724"/>
      <c r="AH50" s="724"/>
      <c r="AI50" s="724"/>
      <c r="AJ50" s="724"/>
      <c r="AK50" s="724"/>
      <c r="AL50" s="724"/>
      <c r="AM50" s="724"/>
      <c r="AN50" s="724"/>
      <c r="AO50" s="724"/>
      <c r="AP50" s="724"/>
      <c r="AQ50" s="724"/>
      <c r="AR50" s="724"/>
      <c r="AS50" s="724"/>
      <c r="AT50" s="724"/>
      <c r="AU50" s="724"/>
      <c r="AV50" s="609"/>
      <c r="AW50" s="610"/>
      <c r="AX50" s="611"/>
      <c r="AY50" s="807"/>
      <c r="AZ50" s="612"/>
      <c r="BA50" s="613"/>
      <c r="BB50" s="745"/>
      <c r="BC50" s="745"/>
      <c r="BD50" s="745"/>
    </row>
    <row r="51" spans="1:56" s="718" customFormat="1" ht="20.25" customHeight="1">
      <c r="C51" s="713" t="s">
        <v>318</v>
      </c>
      <c r="D51" s="714">
        <v>13</v>
      </c>
      <c r="E51" s="718">
        <v>13</v>
      </c>
      <c r="G51" s="718">
        <v>1</v>
      </c>
      <c r="J51" s="717">
        <v>170952</v>
      </c>
      <c r="X51" s="721"/>
      <c r="AA51" s="609"/>
      <c r="AB51" s="609"/>
      <c r="AC51" s="609"/>
      <c r="AD51" s="724"/>
      <c r="AE51" s="724"/>
      <c r="AF51" s="724"/>
      <c r="AG51" s="724"/>
      <c r="AH51" s="724"/>
      <c r="AI51" s="724"/>
      <c r="AJ51" s="724"/>
      <c r="AK51" s="724"/>
      <c r="AL51" s="724"/>
      <c r="AM51" s="724"/>
      <c r="AN51" s="724"/>
      <c r="AO51" s="724"/>
      <c r="AP51" s="724"/>
      <c r="AQ51" s="724"/>
      <c r="AR51" s="724"/>
      <c r="AS51" s="724"/>
      <c r="AT51" s="724"/>
      <c r="AU51" s="724"/>
      <c r="AV51" s="609"/>
      <c r="AW51" s="610"/>
      <c r="AX51" s="611"/>
      <c r="AY51" s="807"/>
      <c r="AZ51" s="612"/>
      <c r="BA51" s="613"/>
      <c r="BB51" s="745"/>
      <c r="BC51" s="745"/>
      <c r="BD51" s="745"/>
    </row>
    <row r="52" spans="1:56" s="718" customFormat="1" ht="20.25" customHeight="1">
      <c r="C52" s="713" t="s">
        <v>319</v>
      </c>
      <c r="D52" s="714">
        <v>23</v>
      </c>
      <c r="E52" s="718">
        <v>23</v>
      </c>
      <c r="G52" s="718">
        <v>1</v>
      </c>
      <c r="J52" s="717">
        <v>374883</v>
      </c>
      <c r="X52" s="721"/>
      <c r="AA52" s="609"/>
      <c r="AB52" s="609"/>
      <c r="AC52" s="609"/>
      <c r="AD52" s="724"/>
      <c r="AE52" s="724"/>
      <c r="AF52" s="724"/>
      <c r="AG52" s="724"/>
      <c r="AH52" s="724"/>
      <c r="AI52" s="724"/>
      <c r="AJ52" s="724"/>
      <c r="AK52" s="724"/>
      <c r="AL52" s="724"/>
      <c r="AM52" s="724"/>
      <c r="AN52" s="724"/>
      <c r="AO52" s="724"/>
      <c r="AP52" s="724"/>
      <c r="AQ52" s="724"/>
      <c r="AR52" s="724"/>
      <c r="AS52" s="724"/>
      <c r="AT52" s="724"/>
      <c r="AU52" s="724"/>
      <c r="AV52" s="609"/>
      <c r="AW52" s="610"/>
      <c r="AX52" s="611"/>
      <c r="AY52" s="807"/>
      <c r="AZ52" s="612"/>
      <c r="BA52" s="613"/>
      <c r="BB52" s="745"/>
      <c r="BC52" s="745"/>
      <c r="BD52" s="745"/>
    </row>
    <row r="53" spans="1:56" s="598" customFormat="1" ht="20.25" customHeight="1">
      <c r="A53" s="589">
        <v>6</v>
      </c>
      <c r="B53" s="1945" t="s">
        <v>320</v>
      </c>
      <c r="C53" s="1945"/>
      <c r="D53" s="594"/>
      <c r="E53" s="595">
        <f>SUM(E54:E59)</f>
        <v>144</v>
      </c>
      <c r="F53" s="595">
        <f>SUM(F54:F59)</f>
        <v>6</v>
      </c>
      <c r="G53" s="596">
        <f>SUM(G54:G61)</f>
        <v>8</v>
      </c>
      <c r="H53" s="595">
        <v>9</v>
      </c>
      <c r="I53" s="595"/>
      <c r="J53" s="595">
        <f t="shared" ref="J53:Q53" si="20">SUM(J54:J59)</f>
        <v>2096236</v>
      </c>
      <c r="K53" s="595">
        <f t="shared" si="20"/>
        <v>612985</v>
      </c>
      <c r="L53" s="595">
        <f t="shared" si="20"/>
        <v>1259365</v>
      </c>
      <c r="M53" s="595">
        <f t="shared" si="20"/>
        <v>524059</v>
      </c>
      <c r="N53" s="595">
        <f t="shared" si="20"/>
        <v>1572177</v>
      </c>
      <c r="O53" s="595">
        <f t="shared" si="20"/>
        <v>1345783.5120000001</v>
      </c>
      <c r="P53" s="595">
        <f t="shared" si="20"/>
        <v>1321964.4119999998</v>
      </c>
      <c r="Q53" s="595">
        <f t="shared" si="20"/>
        <v>11319.6744</v>
      </c>
      <c r="R53" s="595"/>
      <c r="S53" s="595">
        <f>SUM(S54:S59)</f>
        <v>455523</v>
      </c>
      <c r="T53" s="595">
        <f>SUM(T54:T59)</f>
        <v>9110.4599999999991</v>
      </c>
      <c r="U53" s="595">
        <f>SUM(U54:U59)</f>
        <v>14708.64</v>
      </c>
      <c r="V53" s="595">
        <f>SUM(V54:V59)</f>
        <v>431703.9</v>
      </c>
      <c r="W53" s="597">
        <f>85.6%</f>
        <v>0.85599999999999998</v>
      </c>
      <c r="X53" s="607">
        <f t="shared" si="3"/>
        <v>0.45832194802059412</v>
      </c>
      <c r="Y53" s="595">
        <f>SUM(Y54:Y59)</f>
        <v>5466276</v>
      </c>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10"/>
      <c r="AX53" s="611"/>
      <c r="AY53" s="806"/>
      <c r="AZ53" s="612"/>
      <c r="BA53" s="613"/>
    </row>
    <row r="54" spans="1:56" ht="20.25" customHeight="1">
      <c r="A54" s="599"/>
      <c r="B54" s="445">
        <v>1</v>
      </c>
      <c r="C54" s="445" t="s">
        <v>321</v>
      </c>
      <c r="D54" s="600">
        <v>22</v>
      </c>
      <c r="E54" s="601">
        <v>22</v>
      </c>
      <c r="F54" s="601">
        <v>1</v>
      </c>
      <c r="G54" s="602">
        <v>1</v>
      </c>
      <c r="H54" s="601"/>
      <c r="I54" s="601"/>
      <c r="J54" s="636">
        <v>356245</v>
      </c>
      <c r="K54" s="604">
        <v>213747</v>
      </c>
      <c r="L54" s="604">
        <v>213747</v>
      </c>
      <c r="M54" s="605">
        <f t="shared" ref="M54:M59" si="21">J54*25%</f>
        <v>89061.25</v>
      </c>
      <c r="N54" s="604">
        <f t="shared" ref="N54:N59" si="22">J54-M54</f>
        <v>267183.75</v>
      </c>
      <c r="O54" s="604">
        <f t="shared" ref="O54:O59" si="23">$N54*$W$53</f>
        <v>228709.29</v>
      </c>
      <c r="P54" s="604">
        <f t="shared" ref="P54:P59" si="24">O54-T54-U54</f>
        <v>224739.44</v>
      </c>
      <c r="Q54" s="604">
        <f t="shared" ref="Q54:Q59" si="25">(N54-O54)*5%</f>
        <v>1923.7229999999997</v>
      </c>
      <c r="R54" s="604"/>
      <c r="S54" s="604">
        <v>72677</v>
      </c>
      <c r="T54" s="604">
        <f t="shared" ref="T54:T59" si="26">S54*0.02</f>
        <v>1453.54</v>
      </c>
      <c r="U54" s="621">
        <f t="shared" ref="U54:U59" si="27">79397/20-T54</f>
        <v>2516.31</v>
      </c>
      <c r="V54" s="604">
        <f t="shared" ref="V54:V59" si="28">S54-T54-U54</f>
        <v>68707.150000000009</v>
      </c>
      <c r="W54" s="604"/>
      <c r="X54" s="607">
        <f t="shared" si="3"/>
        <v>0.44155670557482224</v>
      </c>
      <c r="Y54" s="608">
        <f t="shared" ref="Y54:Y59" si="29">S54*12</f>
        <v>872124</v>
      </c>
      <c r="AA54" s="609">
        <f>D54*'Don gia XCSDL DC'!$K$8</f>
        <v>10147.721644887539</v>
      </c>
      <c r="AB54" s="609">
        <f>D54*'Don gia XCSDL DC'!$K$9</f>
        <v>9682.1636948875403</v>
      </c>
      <c r="AC54" s="609" t="e">
        <f>D54*'Don gia XCSDL DC'!#REF!</f>
        <v>#REF!</v>
      </c>
      <c r="AD54" s="609">
        <f>D54*'Don gia XCSDL DC'!$K$10</f>
        <v>38987.426584396911</v>
      </c>
      <c r="AE54" s="609">
        <f>J54*'Don gia XCSDL DC'!$K$11</f>
        <v>0</v>
      </c>
      <c r="AF54" s="609" t="e">
        <f>S54*'Don gia XCSDL DC'!#REF!</f>
        <v>#REF!</v>
      </c>
      <c r="AG54" s="609" t="e">
        <f>D54*'Don gia XCSDL DC'!#REF!</f>
        <v>#REF!</v>
      </c>
      <c r="AH54" s="609" t="e">
        <f>J54*'Don gia XCSDL DC'!#REF!</f>
        <v>#REF!</v>
      </c>
      <c r="AI54" s="609" t="e">
        <f>D54*'Don gia XCSDL DC'!#REF!</f>
        <v>#REF!</v>
      </c>
      <c r="AJ54" s="609">
        <f>S54*2*'Don gia XCSDL DC'!$K$24</f>
        <v>1242862158.902796</v>
      </c>
      <c r="AK54" s="609" t="e">
        <f>S54*3*'Don gia XCSDL DC'!#REF!</f>
        <v>#REF!</v>
      </c>
      <c r="AL54" s="609" t="e">
        <f>(S54*2+S54*3)*('Don gia XCSDL DC'!#REF!+'Don gia XCSDL DC'!#REF!+'Don gia XCSDL DC'!#REF!)</f>
        <v>#REF!</v>
      </c>
      <c r="AM54" s="609" t="e">
        <f>O54*'Don gia XCSDL DC'!#REF!*50%</f>
        <v>#REF!</v>
      </c>
      <c r="AN54" s="609" t="e">
        <f>T54*'Don gia XCSDL DC'!#REF!*$AN$8</f>
        <v>#REF!</v>
      </c>
      <c r="AO54" s="609" t="e">
        <f>U54*'Don gia XCSDL DC'!#REF!*1</f>
        <v>#REF!</v>
      </c>
      <c r="AP54" s="609" t="e">
        <f>P54*X54*'Don gia XCSDL DC'!#REF!</f>
        <v>#REF!</v>
      </c>
      <c r="AQ54" s="609" t="e">
        <f>Q54*$AQ$8*'Don gia XCSDL DC'!#REF!</f>
        <v>#REF!</v>
      </c>
      <c r="AR54" s="609" t="e">
        <f>M54*$AR$8*'Don gia XCSDL DC'!#REF!</f>
        <v>#REF!</v>
      </c>
      <c r="AS54" s="609" t="e">
        <f>J54*'Don gia XCSDL DC'!#REF!</f>
        <v>#REF!</v>
      </c>
      <c r="AT54" s="609">
        <f>D54*'Don gia XCSDL DC'!$K$26</f>
        <v>0</v>
      </c>
      <c r="AU54" s="609">
        <f>J54*'Don gia XCSDL DC'!$K$34</f>
        <v>0</v>
      </c>
      <c r="AV54" s="609">
        <f>O54*'Don gia XCSDL DC'!$K$37</f>
        <v>0</v>
      </c>
      <c r="AW54" s="610" t="e">
        <f t="shared" si="8"/>
        <v>#REF!</v>
      </c>
      <c r="AX54" s="611" t="e">
        <f t="shared" si="9"/>
        <v>#REF!</v>
      </c>
      <c r="AY54" s="806" t="e">
        <f t="shared" si="6"/>
        <v>#REF!</v>
      </c>
      <c r="AZ54" s="612" t="e">
        <f>D54*'Don gia XCSDL DC'!#REF!</f>
        <v>#REF!</v>
      </c>
      <c r="BA54" s="613" t="e">
        <f>(Q54+M54)*'Don gia XCSDL DC'!#REF!</f>
        <v>#REF!</v>
      </c>
    </row>
    <row r="55" spans="1:56" ht="20.25" customHeight="1">
      <c r="A55" s="599"/>
      <c r="B55" s="445">
        <v>2</v>
      </c>
      <c r="C55" s="445" t="s">
        <v>322</v>
      </c>
      <c r="D55" s="600">
        <v>26</v>
      </c>
      <c r="E55" s="601">
        <v>26</v>
      </c>
      <c r="F55" s="601">
        <v>1</v>
      </c>
      <c r="G55" s="602">
        <v>1</v>
      </c>
      <c r="H55" s="601"/>
      <c r="I55" s="601"/>
      <c r="J55" s="636">
        <v>304109</v>
      </c>
      <c r="K55" s="604">
        <v>182465</v>
      </c>
      <c r="L55" s="604">
        <v>182465</v>
      </c>
      <c r="M55" s="605">
        <f t="shared" si="21"/>
        <v>76027.25</v>
      </c>
      <c r="N55" s="604">
        <f t="shared" si="22"/>
        <v>228081.75</v>
      </c>
      <c r="O55" s="604">
        <f t="shared" si="23"/>
        <v>195237.978</v>
      </c>
      <c r="P55" s="604">
        <f t="shared" si="24"/>
        <v>191268.128</v>
      </c>
      <c r="Q55" s="604">
        <f t="shared" si="25"/>
        <v>1642.1886</v>
      </c>
      <c r="R55" s="604"/>
      <c r="S55" s="604">
        <v>67595</v>
      </c>
      <c r="T55" s="604">
        <f t="shared" si="26"/>
        <v>1351.9</v>
      </c>
      <c r="U55" s="621">
        <f t="shared" si="27"/>
        <v>2617.9499999999998</v>
      </c>
      <c r="V55" s="604">
        <f t="shared" si="28"/>
        <v>63625.150000000009</v>
      </c>
      <c r="W55" s="604"/>
      <c r="X55" s="607">
        <f t="shared" si="3"/>
        <v>0.46321766755846949</v>
      </c>
      <c r="Y55" s="608">
        <f t="shared" si="29"/>
        <v>811140</v>
      </c>
      <c r="AA55" s="609">
        <f>D55*'Don gia XCSDL DC'!$K$8</f>
        <v>11992.761943957999</v>
      </c>
      <c r="AB55" s="609">
        <f>D55*'Don gia XCSDL DC'!$K$9</f>
        <v>11442.557093958001</v>
      </c>
      <c r="AC55" s="609" t="e">
        <f>D55*'Don gia XCSDL DC'!#REF!</f>
        <v>#REF!</v>
      </c>
      <c r="AD55" s="609">
        <f>D55*'Don gia XCSDL DC'!$K$10</f>
        <v>46076.049599741804</v>
      </c>
      <c r="AE55" s="609">
        <f>J55*'Don gia XCSDL DC'!$K$11</f>
        <v>0</v>
      </c>
      <c r="AF55" s="609" t="e">
        <f>S55*'Don gia XCSDL DC'!#REF!</f>
        <v>#REF!</v>
      </c>
      <c r="AG55" s="609" t="e">
        <f>D55*'Don gia XCSDL DC'!#REF!</f>
        <v>#REF!</v>
      </c>
      <c r="AH55" s="609" t="e">
        <f>J55*'Don gia XCSDL DC'!#REF!</f>
        <v>#REF!</v>
      </c>
      <c r="AI55" s="609" t="e">
        <f>D55*'Don gia XCSDL DC'!#REF!</f>
        <v>#REF!</v>
      </c>
      <c r="AJ55" s="609">
        <f>S55*2*'Don gia XCSDL DC'!$K$24</f>
        <v>1155953983.1175544</v>
      </c>
      <c r="AK55" s="609" t="e">
        <f>S55*3*'Don gia XCSDL DC'!#REF!</f>
        <v>#REF!</v>
      </c>
      <c r="AL55" s="609" t="e">
        <f>(S55*2+S55*3)*('Don gia XCSDL DC'!#REF!+'Don gia XCSDL DC'!#REF!+'Don gia XCSDL DC'!#REF!)</f>
        <v>#REF!</v>
      </c>
      <c r="AM55" s="609" t="e">
        <f>O55*'Don gia XCSDL DC'!#REF!*50%</f>
        <v>#REF!</v>
      </c>
      <c r="AN55" s="609" t="e">
        <f>T55*'Don gia XCSDL DC'!#REF!*$AN$8</f>
        <v>#REF!</v>
      </c>
      <c r="AO55" s="609" t="e">
        <f>U55*'Don gia XCSDL DC'!#REF!*1</f>
        <v>#REF!</v>
      </c>
      <c r="AP55" s="609" t="e">
        <f>P55*X55*'Don gia XCSDL DC'!#REF!</f>
        <v>#REF!</v>
      </c>
      <c r="AQ55" s="609" t="e">
        <f>Q55*$AQ$8*'Don gia XCSDL DC'!#REF!</f>
        <v>#REF!</v>
      </c>
      <c r="AR55" s="609" t="e">
        <f>M55*$AR$8*'Don gia XCSDL DC'!#REF!</f>
        <v>#REF!</v>
      </c>
      <c r="AS55" s="609" t="e">
        <f>J55*'Don gia XCSDL DC'!#REF!</f>
        <v>#REF!</v>
      </c>
      <c r="AT55" s="609">
        <f>D55*'Don gia XCSDL DC'!$K$26</f>
        <v>0</v>
      </c>
      <c r="AU55" s="609">
        <f>J55*'Don gia XCSDL DC'!$K$34</f>
        <v>0</v>
      </c>
      <c r="AV55" s="609">
        <f>O55*'Don gia XCSDL DC'!$K$37</f>
        <v>0</v>
      </c>
      <c r="AW55" s="610" t="e">
        <f t="shared" si="8"/>
        <v>#REF!</v>
      </c>
      <c r="AX55" s="611" t="e">
        <f t="shared" si="9"/>
        <v>#REF!</v>
      </c>
      <c r="AY55" s="806" t="e">
        <f t="shared" si="6"/>
        <v>#REF!</v>
      </c>
      <c r="AZ55" s="612" t="e">
        <f>D55*'Don gia XCSDL DC'!#REF!</f>
        <v>#REF!</v>
      </c>
      <c r="BA55" s="613" t="e">
        <f>(Q55+M55)*'Don gia XCSDL DC'!#REF!</f>
        <v>#REF!</v>
      </c>
    </row>
    <row r="56" spans="1:56" ht="20.25" customHeight="1">
      <c r="A56" s="599"/>
      <c r="B56" s="445">
        <v>3</v>
      </c>
      <c r="C56" s="445" t="s">
        <v>323</v>
      </c>
      <c r="D56" s="600">
        <v>24</v>
      </c>
      <c r="E56" s="601">
        <v>24</v>
      </c>
      <c r="F56" s="601">
        <v>1</v>
      </c>
      <c r="G56" s="602">
        <v>1</v>
      </c>
      <c r="H56" s="601"/>
      <c r="I56" s="601"/>
      <c r="J56" s="636">
        <v>361288</v>
      </c>
      <c r="K56" s="604">
        <v>216773</v>
      </c>
      <c r="L56" s="604">
        <v>216773</v>
      </c>
      <c r="M56" s="605">
        <f t="shared" si="21"/>
        <v>90322</v>
      </c>
      <c r="N56" s="604">
        <f t="shared" si="22"/>
        <v>270966</v>
      </c>
      <c r="O56" s="604">
        <f t="shared" si="23"/>
        <v>231946.89600000001</v>
      </c>
      <c r="P56" s="604">
        <f t="shared" si="24"/>
        <v>227977.046</v>
      </c>
      <c r="Q56" s="604">
        <f t="shared" si="25"/>
        <v>1950.9551999999996</v>
      </c>
      <c r="R56" s="604"/>
      <c r="S56" s="604">
        <v>84713</v>
      </c>
      <c r="T56" s="604">
        <f t="shared" si="26"/>
        <v>1694.26</v>
      </c>
      <c r="U56" s="621">
        <f t="shared" si="27"/>
        <v>2275.59</v>
      </c>
      <c r="V56" s="604">
        <f t="shared" si="28"/>
        <v>80743.150000000009</v>
      </c>
      <c r="W56" s="604"/>
      <c r="X56" s="607">
        <f t="shared" si="3"/>
        <v>0.48052987679332843</v>
      </c>
      <c r="Y56" s="608">
        <f t="shared" si="29"/>
        <v>1016556</v>
      </c>
      <c r="AA56" s="609">
        <f>D56*'Don gia XCSDL DC'!$K$8</f>
        <v>11070.241794422769</v>
      </c>
      <c r="AB56" s="609">
        <f>D56*'Don gia XCSDL DC'!$K$9</f>
        <v>10562.360394422771</v>
      </c>
      <c r="AC56" s="609" t="e">
        <f>D56*'Don gia XCSDL DC'!#REF!</f>
        <v>#REF!</v>
      </c>
      <c r="AD56" s="609">
        <f>D56*'Don gia XCSDL DC'!$K$10</f>
        <v>42531.738092069361</v>
      </c>
      <c r="AE56" s="609">
        <f>J56*'Don gia XCSDL DC'!$K$11</f>
        <v>0</v>
      </c>
      <c r="AF56" s="609" t="e">
        <f>S56*'Don gia XCSDL DC'!#REF!</f>
        <v>#REF!</v>
      </c>
      <c r="AG56" s="609" t="e">
        <f>D56*'Don gia XCSDL DC'!#REF!</f>
        <v>#REF!</v>
      </c>
      <c r="AH56" s="609" t="e">
        <f>J56*'Don gia XCSDL DC'!#REF!</f>
        <v>#REF!</v>
      </c>
      <c r="AI56" s="609" t="e">
        <f>D56*'Don gia XCSDL DC'!#REF!</f>
        <v>#REF!</v>
      </c>
      <c r="AJ56" s="609">
        <f>S56*2*'Don gia XCSDL DC'!$K$24</f>
        <v>1448691911.7070403</v>
      </c>
      <c r="AK56" s="609" t="e">
        <f>S56*3*'Don gia XCSDL DC'!#REF!</f>
        <v>#REF!</v>
      </c>
      <c r="AL56" s="609" t="e">
        <f>(S56*2+S56*3)*('Don gia XCSDL DC'!#REF!+'Don gia XCSDL DC'!#REF!+'Don gia XCSDL DC'!#REF!)</f>
        <v>#REF!</v>
      </c>
      <c r="AM56" s="609" t="e">
        <f>O56*'Don gia XCSDL DC'!#REF!*50%</f>
        <v>#REF!</v>
      </c>
      <c r="AN56" s="609" t="e">
        <f>T56*'Don gia XCSDL DC'!#REF!*$AN$8</f>
        <v>#REF!</v>
      </c>
      <c r="AO56" s="609" t="e">
        <f>U56*'Don gia XCSDL DC'!#REF!*1</f>
        <v>#REF!</v>
      </c>
      <c r="AP56" s="609" t="e">
        <f>P56*X56*'Don gia XCSDL DC'!#REF!</f>
        <v>#REF!</v>
      </c>
      <c r="AQ56" s="609" t="e">
        <f>Q56*$AQ$8*'Don gia XCSDL DC'!#REF!</f>
        <v>#REF!</v>
      </c>
      <c r="AR56" s="609" t="e">
        <f>M56*$AR$8*'Don gia XCSDL DC'!#REF!</f>
        <v>#REF!</v>
      </c>
      <c r="AS56" s="609" t="e">
        <f>J56*'Don gia XCSDL DC'!#REF!</f>
        <v>#REF!</v>
      </c>
      <c r="AT56" s="609">
        <f>D56*'Don gia XCSDL DC'!$K$26</f>
        <v>0</v>
      </c>
      <c r="AU56" s="609">
        <f>J56*'Don gia XCSDL DC'!$K$34</f>
        <v>0</v>
      </c>
      <c r="AV56" s="609">
        <f>O56*'Don gia XCSDL DC'!$K$37</f>
        <v>0</v>
      </c>
      <c r="AW56" s="610" t="e">
        <f t="shared" si="8"/>
        <v>#REF!</v>
      </c>
      <c r="AX56" s="611" t="e">
        <f t="shared" si="9"/>
        <v>#REF!</v>
      </c>
      <c r="AY56" s="806" t="e">
        <f t="shared" si="6"/>
        <v>#REF!</v>
      </c>
      <c r="AZ56" s="612" t="e">
        <f>D56*'Don gia XCSDL DC'!#REF!</f>
        <v>#REF!</v>
      </c>
      <c r="BA56" s="613" t="e">
        <f>(Q56+M56)*'Don gia XCSDL DC'!#REF!</f>
        <v>#REF!</v>
      </c>
    </row>
    <row r="57" spans="1:56" ht="20.25" customHeight="1">
      <c r="A57" s="599"/>
      <c r="B57" s="445">
        <v>4</v>
      </c>
      <c r="C57" s="445" t="s">
        <v>324</v>
      </c>
      <c r="D57" s="600">
        <v>31</v>
      </c>
      <c r="E57" s="601">
        <v>31</v>
      </c>
      <c r="F57" s="601">
        <v>1</v>
      </c>
      <c r="G57" s="602">
        <v>1</v>
      </c>
      <c r="H57" s="601"/>
      <c r="I57" s="601"/>
      <c r="J57" s="636">
        <v>397829</v>
      </c>
      <c r="K57" s="604"/>
      <c r="L57" s="604">
        <f>129298/4*8+18000</f>
        <v>276596</v>
      </c>
      <c r="M57" s="605">
        <f t="shared" si="21"/>
        <v>99457.25</v>
      </c>
      <c r="N57" s="604">
        <f t="shared" si="22"/>
        <v>298371.75</v>
      </c>
      <c r="O57" s="604">
        <f t="shared" si="23"/>
        <v>255406.21799999999</v>
      </c>
      <c r="P57" s="604">
        <f t="shared" si="24"/>
        <v>251436.36799999999</v>
      </c>
      <c r="Q57" s="604">
        <f t="shared" si="25"/>
        <v>2148.2766000000006</v>
      </c>
      <c r="R57" s="604"/>
      <c r="S57" s="604">
        <v>86453</v>
      </c>
      <c r="T57" s="604">
        <f t="shared" si="26"/>
        <v>1729.06</v>
      </c>
      <c r="U57" s="621">
        <f t="shared" si="27"/>
        <v>2240.79</v>
      </c>
      <c r="V57" s="604">
        <f t="shared" si="28"/>
        <v>82483.150000000009</v>
      </c>
      <c r="W57" s="604"/>
      <c r="X57" s="607">
        <f t="shared" si="3"/>
        <v>0.45951671713339554</v>
      </c>
      <c r="Y57" s="608">
        <f t="shared" si="29"/>
        <v>1037436</v>
      </c>
      <c r="AA57" s="609">
        <f>D57*'Don gia XCSDL DC'!$K$8</f>
        <v>14299.062317796077</v>
      </c>
      <c r="AB57" s="609">
        <f>D57*'Don gia XCSDL DC'!$K$9</f>
        <v>13643.048842796079</v>
      </c>
      <c r="AC57" s="609" t="e">
        <f>D57*'Don gia XCSDL DC'!#REF!</f>
        <v>#REF!</v>
      </c>
      <c r="AD57" s="609">
        <f>D57*'Don gia XCSDL DC'!$K$10</f>
        <v>54936.828368922921</v>
      </c>
      <c r="AE57" s="609">
        <f>J57*'Don gia XCSDL DC'!$K$11</f>
        <v>0</v>
      </c>
      <c r="AF57" s="609" t="e">
        <f>S57*'Don gia XCSDL DC'!#REF!</f>
        <v>#REF!</v>
      </c>
      <c r="AG57" s="609" t="e">
        <f>D57*'Don gia XCSDL DC'!#REF!</f>
        <v>#REF!</v>
      </c>
      <c r="AH57" s="609" t="e">
        <f>J57*'Don gia XCSDL DC'!#REF!</f>
        <v>#REF!</v>
      </c>
      <c r="AI57" s="609" t="e">
        <f>D57*'Don gia XCSDL DC'!#REF!</f>
        <v>#REF!</v>
      </c>
      <c r="AJ57" s="609">
        <f>S57*2*'Don gia XCSDL DC'!$K$24</f>
        <v>1478447957.7256</v>
      </c>
      <c r="AK57" s="609" t="e">
        <f>S57*3*'Don gia XCSDL DC'!#REF!</f>
        <v>#REF!</v>
      </c>
      <c r="AL57" s="609" t="e">
        <f>(S57*2+S57*3)*('Don gia XCSDL DC'!#REF!+'Don gia XCSDL DC'!#REF!+'Don gia XCSDL DC'!#REF!)</f>
        <v>#REF!</v>
      </c>
      <c r="AM57" s="609" t="e">
        <f>O57*'Don gia XCSDL DC'!#REF!*50%</f>
        <v>#REF!</v>
      </c>
      <c r="AN57" s="609" t="e">
        <f>T57*'Don gia XCSDL DC'!#REF!*$AN$8</f>
        <v>#REF!</v>
      </c>
      <c r="AO57" s="609" t="e">
        <f>U57*'Don gia XCSDL DC'!#REF!*1</f>
        <v>#REF!</v>
      </c>
      <c r="AP57" s="609" t="e">
        <f>P57*X57*'Don gia XCSDL DC'!#REF!</f>
        <v>#REF!</v>
      </c>
      <c r="AQ57" s="609" t="e">
        <f>Q57*$AQ$8*'Don gia XCSDL DC'!#REF!</f>
        <v>#REF!</v>
      </c>
      <c r="AR57" s="609" t="e">
        <f>M57*$AR$8*'Don gia XCSDL DC'!#REF!</f>
        <v>#REF!</v>
      </c>
      <c r="AS57" s="609" t="e">
        <f>J57*'Don gia XCSDL DC'!#REF!</f>
        <v>#REF!</v>
      </c>
      <c r="AT57" s="609">
        <f>D57*'Don gia XCSDL DC'!$K$26</f>
        <v>0</v>
      </c>
      <c r="AU57" s="609">
        <f>J57*'Don gia XCSDL DC'!$K$34</f>
        <v>0</v>
      </c>
      <c r="AV57" s="609">
        <f>O57*'Don gia XCSDL DC'!$K$37</f>
        <v>0</v>
      </c>
      <c r="AW57" s="610" t="e">
        <f t="shared" si="8"/>
        <v>#REF!</v>
      </c>
      <c r="AX57" s="611" t="e">
        <f t="shared" si="9"/>
        <v>#REF!</v>
      </c>
      <c r="AY57" s="806" t="e">
        <f t="shared" si="6"/>
        <v>#REF!</v>
      </c>
      <c r="AZ57" s="612" t="e">
        <f>D57*'Don gia XCSDL DC'!#REF!</f>
        <v>#REF!</v>
      </c>
      <c r="BA57" s="613" t="e">
        <f>(Q57+M57)*'Don gia XCSDL DC'!#REF!</f>
        <v>#REF!</v>
      </c>
    </row>
    <row r="58" spans="1:56" ht="20.25" customHeight="1">
      <c r="A58" s="599"/>
      <c r="B58" s="445">
        <v>5</v>
      </c>
      <c r="C58" s="445" t="s">
        <v>325</v>
      </c>
      <c r="D58" s="600">
        <v>27</v>
      </c>
      <c r="E58" s="601">
        <v>27</v>
      </c>
      <c r="F58" s="601">
        <v>1</v>
      </c>
      <c r="G58" s="602">
        <v>1</v>
      </c>
      <c r="H58" s="601"/>
      <c r="I58" s="601"/>
      <c r="J58" s="636">
        <v>417857</v>
      </c>
      <c r="K58" s="604"/>
      <c r="L58" s="604">
        <f>106198/4*8+12000</f>
        <v>224396</v>
      </c>
      <c r="M58" s="605">
        <f t="shared" si="21"/>
        <v>104464.25</v>
      </c>
      <c r="N58" s="604">
        <f t="shared" si="22"/>
        <v>313392.75</v>
      </c>
      <c r="O58" s="604">
        <f t="shared" si="23"/>
        <v>268264.19400000002</v>
      </c>
      <c r="P58" s="604">
        <f t="shared" si="24"/>
        <v>264294.34400000004</v>
      </c>
      <c r="Q58" s="604">
        <f t="shared" si="25"/>
        <v>2256.427799999999</v>
      </c>
      <c r="R58" s="604"/>
      <c r="S58" s="604">
        <v>82987</v>
      </c>
      <c r="T58" s="604">
        <f t="shared" si="26"/>
        <v>1659.74</v>
      </c>
      <c r="U58" s="621">
        <f t="shared" si="27"/>
        <v>2310.1099999999997</v>
      </c>
      <c r="V58" s="604">
        <f t="shared" si="28"/>
        <v>79017.149999999994</v>
      </c>
      <c r="W58" s="604"/>
      <c r="X58" s="607">
        <f t="shared" si="3"/>
        <v>0.43613129981551435</v>
      </c>
      <c r="Y58" s="608">
        <f t="shared" si="29"/>
        <v>995844</v>
      </c>
      <c r="AA58" s="609">
        <f>D58*'Don gia XCSDL DC'!$K$8</f>
        <v>12454.022018725615</v>
      </c>
      <c r="AB58" s="609">
        <f>D58*'Don gia XCSDL DC'!$K$9</f>
        <v>11882.655443725616</v>
      </c>
      <c r="AC58" s="609" t="e">
        <f>D58*'Don gia XCSDL DC'!#REF!</f>
        <v>#REF!</v>
      </c>
      <c r="AD58" s="609">
        <f>D58*'Don gia XCSDL DC'!$K$10</f>
        <v>47848.205353578029</v>
      </c>
      <c r="AE58" s="609">
        <f>J58*'Don gia XCSDL DC'!$K$11</f>
        <v>0</v>
      </c>
      <c r="AF58" s="609" t="e">
        <f>S58*'Don gia XCSDL DC'!#REF!</f>
        <v>#REF!</v>
      </c>
      <c r="AG58" s="609" t="e">
        <f>D58*'Don gia XCSDL DC'!#REF!</f>
        <v>#REF!</v>
      </c>
      <c r="AH58" s="609" t="e">
        <f>J58*'Don gia XCSDL DC'!#REF!</f>
        <v>#REF!</v>
      </c>
      <c r="AI58" s="609" t="e">
        <f>D58*'Don gia XCSDL DC'!#REF!</f>
        <v>#REF!</v>
      </c>
      <c r="AJ58" s="609">
        <f>S58*2*'Don gia XCSDL DC'!$K$24</f>
        <v>1419175282.1506989</v>
      </c>
      <c r="AK58" s="609" t="e">
        <f>S58*3*'Don gia XCSDL DC'!#REF!</f>
        <v>#REF!</v>
      </c>
      <c r="AL58" s="609" t="e">
        <f>(S58*2+S58*3)*('Don gia XCSDL DC'!#REF!+'Don gia XCSDL DC'!#REF!+'Don gia XCSDL DC'!#REF!)</f>
        <v>#REF!</v>
      </c>
      <c r="AM58" s="609" t="e">
        <f>O58*'Don gia XCSDL DC'!#REF!*50%</f>
        <v>#REF!</v>
      </c>
      <c r="AN58" s="609" t="e">
        <f>T58*'Don gia XCSDL DC'!#REF!*$AN$8</f>
        <v>#REF!</v>
      </c>
      <c r="AO58" s="609" t="e">
        <f>U58*'Don gia XCSDL DC'!#REF!*1</f>
        <v>#REF!</v>
      </c>
      <c r="AP58" s="609" t="e">
        <f>P58*X58*'Don gia XCSDL DC'!#REF!</f>
        <v>#REF!</v>
      </c>
      <c r="AQ58" s="609" t="e">
        <f>Q58*$AQ$8*'Don gia XCSDL DC'!#REF!</f>
        <v>#REF!</v>
      </c>
      <c r="AR58" s="609" t="e">
        <f>M58*$AR$8*'Don gia XCSDL DC'!#REF!</f>
        <v>#REF!</v>
      </c>
      <c r="AS58" s="609" t="e">
        <f>J58*'Don gia XCSDL DC'!#REF!</f>
        <v>#REF!</v>
      </c>
      <c r="AT58" s="609">
        <f>D58*'Don gia XCSDL DC'!$K$26</f>
        <v>0</v>
      </c>
      <c r="AU58" s="609">
        <f>J58*'Don gia XCSDL DC'!$K$34</f>
        <v>0</v>
      </c>
      <c r="AV58" s="609">
        <f>O58*'Don gia XCSDL DC'!$K$37</f>
        <v>0</v>
      </c>
      <c r="AW58" s="610" t="e">
        <f t="shared" si="8"/>
        <v>#REF!</v>
      </c>
      <c r="AX58" s="611" t="e">
        <f t="shared" si="9"/>
        <v>#REF!</v>
      </c>
      <c r="AY58" s="806" t="e">
        <f t="shared" si="6"/>
        <v>#REF!</v>
      </c>
      <c r="AZ58" s="612" t="e">
        <f>D58*'Don gia XCSDL DC'!#REF!</f>
        <v>#REF!</v>
      </c>
      <c r="BA58" s="613" t="e">
        <f>(Q58+M58)*'Don gia XCSDL DC'!#REF!</f>
        <v>#REF!</v>
      </c>
    </row>
    <row r="59" spans="1:56" ht="15.75" customHeight="1">
      <c r="A59" s="599"/>
      <c r="B59" s="445">
        <v>6</v>
      </c>
      <c r="C59" s="445" t="s">
        <v>326</v>
      </c>
      <c r="D59" s="600">
        <v>14</v>
      </c>
      <c r="E59" s="601">
        <v>14</v>
      </c>
      <c r="F59" s="601">
        <v>1</v>
      </c>
      <c r="G59" s="602">
        <v>1</v>
      </c>
      <c r="H59" s="601"/>
      <c r="I59" s="601"/>
      <c r="J59" s="636">
        <v>258908</v>
      </c>
      <c r="K59" s="604"/>
      <c r="L59" s="604">
        <f>46796/4*12+5000</f>
        <v>145388</v>
      </c>
      <c r="M59" s="605">
        <f t="shared" si="21"/>
        <v>64727</v>
      </c>
      <c r="N59" s="604">
        <f t="shared" si="22"/>
        <v>194181</v>
      </c>
      <c r="O59" s="604">
        <f t="shared" si="23"/>
        <v>166218.93599999999</v>
      </c>
      <c r="P59" s="604">
        <f t="shared" si="24"/>
        <v>162249.08599999998</v>
      </c>
      <c r="Q59" s="604">
        <f t="shared" si="25"/>
        <v>1398.1032000000007</v>
      </c>
      <c r="R59" s="604"/>
      <c r="S59" s="604">
        <v>61098</v>
      </c>
      <c r="T59" s="604">
        <f t="shared" si="26"/>
        <v>1221.96</v>
      </c>
      <c r="U59" s="621">
        <f t="shared" si="27"/>
        <v>2747.89</v>
      </c>
      <c r="V59" s="604">
        <f t="shared" si="28"/>
        <v>57128.15</v>
      </c>
      <c r="W59" s="604"/>
      <c r="X59" s="607">
        <f t="shared" si="3"/>
        <v>0.4788642670823669</v>
      </c>
      <c r="Y59" s="608">
        <f t="shared" si="29"/>
        <v>733176</v>
      </c>
      <c r="AA59" s="609">
        <f>D59*'Don gia XCSDL DC'!$K$8</f>
        <v>6457.6410467466158</v>
      </c>
      <c r="AB59" s="609">
        <f>D59*'Don gia XCSDL DC'!$K$9</f>
        <v>6161.3768967466167</v>
      </c>
      <c r="AC59" s="609" t="e">
        <f>D59*'Don gia XCSDL DC'!#REF!</f>
        <v>#REF!</v>
      </c>
      <c r="AD59" s="609">
        <f>D59*'Don gia XCSDL DC'!$K$10</f>
        <v>24810.180553707127</v>
      </c>
      <c r="AE59" s="609">
        <f>J59*'Don gia XCSDL DC'!$K$11</f>
        <v>0</v>
      </c>
      <c r="AF59" s="609" t="e">
        <f>S59*'Don gia XCSDL DC'!#REF!</f>
        <v>#REF!</v>
      </c>
      <c r="AG59" s="609" t="e">
        <f>D59*'Don gia XCSDL DC'!#REF!</f>
        <v>#REF!</v>
      </c>
      <c r="AH59" s="609" t="e">
        <f>J59*'Don gia XCSDL DC'!#REF!</f>
        <v>#REF!</v>
      </c>
      <c r="AI59" s="609" t="e">
        <f>D59*'Don gia XCSDL DC'!#REF!</f>
        <v>#REF!</v>
      </c>
      <c r="AJ59" s="609">
        <f>S59*2*'Don gia XCSDL DC'!$K$24</f>
        <v>1044847643.4723921</v>
      </c>
      <c r="AK59" s="609" t="e">
        <f>S59*3*'Don gia XCSDL DC'!#REF!</f>
        <v>#REF!</v>
      </c>
      <c r="AL59" s="609" t="e">
        <f>(S59*2+S59*3)*('Don gia XCSDL DC'!#REF!+'Don gia XCSDL DC'!#REF!+'Don gia XCSDL DC'!#REF!)</f>
        <v>#REF!</v>
      </c>
      <c r="AM59" s="609" t="e">
        <f>O59*'Don gia XCSDL DC'!#REF!*50%</f>
        <v>#REF!</v>
      </c>
      <c r="AN59" s="609" t="e">
        <f>T59*'Don gia XCSDL DC'!#REF!*$AN$8</f>
        <v>#REF!</v>
      </c>
      <c r="AO59" s="609" t="e">
        <f>U59*'Don gia XCSDL DC'!#REF!*1</f>
        <v>#REF!</v>
      </c>
      <c r="AP59" s="609" t="e">
        <f>P59*X59*'Don gia XCSDL DC'!#REF!</f>
        <v>#REF!</v>
      </c>
      <c r="AQ59" s="609" t="e">
        <f>Q59*$AQ$8*'Don gia XCSDL DC'!#REF!</f>
        <v>#REF!</v>
      </c>
      <c r="AR59" s="609" t="e">
        <f>M59*$AR$8*'Don gia XCSDL DC'!#REF!</f>
        <v>#REF!</v>
      </c>
      <c r="AS59" s="609" t="e">
        <f>J59*'Don gia XCSDL DC'!#REF!</f>
        <v>#REF!</v>
      </c>
      <c r="AT59" s="609">
        <f>D59*'Don gia XCSDL DC'!$K$26</f>
        <v>0</v>
      </c>
      <c r="AU59" s="609">
        <f>J59*'Don gia XCSDL DC'!$K$34</f>
        <v>0</v>
      </c>
      <c r="AV59" s="609">
        <f>O59*'Don gia XCSDL DC'!$K$37</f>
        <v>0</v>
      </c>
      <c r="AW59" s="610" t="e">
        <f t="shared" si="8"/>
        <v>#REF!</v>
      </c>
      <c r="AX59" s="611" t="e">
        <f t="shared" si="9"/>
        <v>#REF!</v>
      </c>
      <c r="AY59" s="806" t="e">
        <f t="shared" si="6"/>
        <v>#REF!</v>
      </c>
      <c r="AZ59" s="612" t="e">
        <f>D59*'Don gia XCSDL DC'!#REF!</f>
        <v>#REF!</v>
      </c>
      <c r="BA59" s="613" t="e">
        <f>(Q59+M59)*'Don gia XCSDL DC'!#REF!</f>
        <v>#REF!</v>
      </c>
    </row>
    <row r="60" spans="1:56" s="723" customFormat="1" ht="20.25" customHeight="1">
      <c r="A60" s="712"/>
      <c r="B60" s="713"/>
      <c r="C60" s="713" t="s">
        <v>327</v>
      </c>
      <c r="D60" s="714">
        <v>17</v>
      </c>
      <c r="E60" s="715">
        <v>17</v>
      </c>
      <c r="F60" s="715"/>
      <c r="G60" s="715">
        <v>1</v>
      </c>
      <c r="H60" s="715"/>
      <c r="I60" s="715"/>
      <c r="J60" s="746">
        <v>121191</v>
      </c>
      <c r="K60" s="716"/>
      <c r="L60" s="734">
        <v>121191</v>
      </c>
      <c r="M60" s="719"/>
      <c r="N60" s="718"/>
      <c r="O60" s="718"/>
      <c r="P60" s="718"/>
      <c r="Q60" s="718"/>
      <c r="R60" s="718"/>
      <c r="S60" s="747"/>
      <c r="T60" s="718"/>
      <c r="U60" s="730"/>
      <c r="V60" s="718"/>
      <c r="W60" s="718"/>
      <c r="X60" s="721"/>
      <c r="Y60" s="722"/>
      <c r="AA60" s="609"/>
      <c r="AB60" s="609"/>
      <c r="AC60" s="609"/>
      <c r="AD60" s="724"/>
      <c r="AE60" s="724"/>
      <c r="AF60" s="724"/>
      <c r="AG60" s="724"/>
      <c r="AH60" s="724"/>
      <c r="AI60" s="724"/>
      <c r="AJ60" s="724"/>
      <c r="AK60" s="724"/>
      <c r="AL60" s="724"/>
      <c r="AM60" s="724"/>
      <c r="AN60" s="724"/>
      <c r="AO60" s="724"/>
      <c r="AP60" s="724"/>
      <c r="AQ60" s="724"/>
      <c r="AR60" s="724"/>
      <c r="AS60" s="724"/>
      <c r="AT60" s="724"/>
      <c r="AU60" s="724"/>
      <c r="AV60" s="609"/>
      <c r="AW60" s="610"/>
      <c r="AX60" s="611"/>
      <c r="AY60" s="807"/>
      <c r="AZ60" s="612"/>
      <c r="BA60" s="613"/>
    </row>
    <row r="61" spans="1:56" s="723" customFormat="1" ht="20.25" customHeight="1">
      <c r="A61" s="712"/>
      <c r="B61" s="713"/>
      <c r="C61" s="713" t="s">
        <v>328</v>
      </c>
      <c r="D61" s="714">
        <v>7</v>
      </c>
      <c r="E61" s="715">
        <v>7</v>
      </c>
      <c r="F61" s="715"/>
      <c r="G61" s="715">
        <v>1</v>
      </c>
      <c r="H61" s="715"/>
      <c r="I61" s="715"/>
      <c r="J61" s="746">
        <v>54894</v>
      </c>
      <c r="K61" s="716"/>
      <c r="L61" s="734">
        <v>54894</v>
      </c>
      <c r="M61" s="719"/>
      <c r="N61" s="718"/>
      <c r="O61" s="718"/>
      <c r="P61" s="718"/>
      <c r="Q61" s="718"/>
      <c r="R61" s="718"/>
      <c r="S61" s="718"/>
      <c r="T61" s="718"/>
      <c r="U61" s="730"/>
      <c r="V61" s="718"/>
      <c r="W61" s="718"/>
      <c r="X61" s="721"/>
      <c r="Y61" s="722"/>
      <c r="AA61" s="609"/>
      <c r="AB61" s="609"/>
      <c r="AC61" s="609"/>
      <c r="AD61" s="724"/>
      <c r="AE61" s="724"/>
      <c r="AF61" s="724"/>
      <c r="AG61" s="724"/>
      <c r="AH61" s="724"/>
      <c r="AI61" s="724"/>
      <c r="AJ61" s="724"/>
      <c r="AK61" s="724"/>
      <c r="AL61" s="724"/>
      <c r="AM61" s="724"/>
      <c r="AN61" s="724"/>
      <c r="AO61" s="724"/>
      <c r="AP61" s="724"/>
      <c r="AQ61" s="724"/>
      <c r="AR61" s="724"/>
      <c r="AS61" s="724"/>
      <c r="AT61" s="724"/>
      <c r="AU61" s="724"/>
      <c r="AV61" s="609"/>
      <c r="AW61" s="610"/>
      <c r="AX61" s="611"/>
      <c r="AY61" s="807"/>
      <c r="AZ61" s="612"/>
      <c r="BA61" s="613"/>
    </row>
    <row r="62" spans="1:56" s="723" customFormat="1" ht="20.25" customHeight="1">
      <c r="A62" s="712"/>
      <c r="B62" s="713"/>
      <c r="C62" s="713"/>
      <c r="D62" s="714"/>
      <c r="E62" s="715"/>
      <c r="F62" s="715"/>
      <c r="G62" s="733"/>
      <c r="H62" s="715"/>
      <c r="I62" s="715"/>
      <c r="J62" s="746"/>
      <c r="K62" s="716"/>
      <c r="L62" s="734"/>
      <c r="M62" s="719"/>
      <c r="N62" s="718"/>
      <c r="O62" s="718"/>
      <c r="P62" s="718"/>
      <c r="Q62" s="718"/>
      <c r="R62" s="718"/>
      <c r="S62" s="718"/>
      <c r="T62" s="718"/>
      <c r="U62" s="730"/>
      <c r="V62" s="718"/>
      <c r="W62" s="718"/>
      <c r="X62" s="721"/>
      <c r="Y62" s="722"/>
      <c r="AA62" s="609"/>
      <c r="AB62" s="609"/>
      <c r="AC62" s="609"/>
      <c r="AD62" s="724"/>
      <c r="AE62" s="724"/>
      <c r="AF62" s="724"/>
      <c r="AG62" s="724"/>
      <c r="AH62" s="724"/>
      <c r="AI62" s="724"/>
      <c r="AJ62" s="724"/>
      <c r="AK62" s="724"/>
      <c r="AL62" s="724"/>
      <c r="AM62" s="724"/>
      <c r="AN62" s="724"/>
      <c r="AO62" s="724"/>
      <c r="AP62" s="724"/>
      <c r="AQ62" s="724"/>
      <c r="AR62" s="724"/>
      <c r="AS62" s="724"/>
      <c r="AT62" s="724"/>
      <c r="AU62" s="724"/>
      <c r="AV62" s="609"/>
      <c r="AW62" s="610"/>
      <c r="AX62" s="611"/>
      <c r="AY62" s="807"/>
      <c r="AZ62" s="612"/>
      <c r="BA62" s="613"/>
    </row>
    <row r="63" spans="1:56" s="598" customFormat="1" ht="20.25" customHeight="1">
      <c r="A63" s="589">
        <v>7</v>
      </c>
      <c r="B63" s="1945" t="s">
        <v>329</v>
      </c>
      <c r="C63" s="1945"/>
      <c r="D63" s="594"/>
      <c r="E63" s="595">
        <f>SUM(E64:E69)</f>
        <v>112</v>
      </c>
      <c r="F63" s="595">
        <f>SUM(F64:F69)</f>
        <v>6</v>
      </c>
      <c r="G63" s="596">
        <f>SUM(G64:G71)</f>
        <v>8</v>
      </c>
      <c r="H63" s="595">
        <v>12</v>
      </c>
      <c r="I63" s="595"/>
      <c r="J63" s="595">
        <f t="shared" ref="J63:Q63" si="30">SUM(J64:J69)</f>
        <v>734382.7</v>
      </c>
      <c r="K63" s="595">
        <f t="shared" si="30"/>
        <v>211994</v>
      </c>
      <c r="L63" s="595">
        <f t="shared" si="30"/>
        <v>669318</v>
      </c>
      <c r="M63" s="595">
        <f t="shared" si="30"/>
        <v>132156.76999999999</v>
      </c>
      <c r="N63" s="595">
        <f t="shared" si="30"/>
        <v>602225.93000000005</v>
      </c>
      <c r="O63" s="595">
        <f t="shared" si="30"/>
        <v>587170.28174999997</v>
      </c>
      <c r="P63" s="595">
        <f t="shared" si="30"/>
        <v>431745.28174999997</v>
      </c>
      <c r="Q63" s="595">
        <f t="shared" si="30"/>
        <v>15055.648250000013</v>
      </c>
      <c r="R63" s="595"/>
      <c r="S63" s="595">
        <f>SUM(S64:S69)</f>
        <v>534831.04</v>
      </c>
      <c r="T63" s="595">
        <f>SUM(T64:T69)</f>
        <v>20003.709200000001</v>
      </c>
      <c r="U63" s="595">
        <f>SUM(U64:U69)</f>
        <v>135421.29080000002</v>
      </c>
      <c r="V63" s="595">
        <f>SUM(V64:V69)</f>
        <v>379406.04000000004</v>
      </c>
      <c r="W63" s="597">
        <v>0.97499999999999998</v>
      </c>
      <c r="X63" s="607">
        <f t="shared" si="3"/>
        <v>0.90249122086520128</v>
      </c>
      <c r="Y63" s="595">
        <f>SUM(Y64:Y69)</f>
        <v>6417972.4800000004</v>
      </c>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10"/>
      <c r="AX63" s="611"/>
      <c r="AY63" s="806"/>
      <c r="AZ63" s="612"/>
      <c r="BA63" s="613"/>
    </row>
    <row r="64" spans="1:56" ht="20.25" customHeight="1">
      <c r="A64" s="599"/>
      <c r="B64" s="445">
        <v>1</v>
      </c>
      <c r="C64" s="445" t="s">
        <v>330</v>
      </c>
      <c r="D64" s="600">
        <v>27</v>
      </c>
      <c r="E64" s="637">
        <v>27</v>
      </c>
      <c r="F64" s="601">
        <v>1</v>
      </c>
      <c r="G64" s="602">
        <v>1</v>
      </c>
      <c r="H64" s="601"/>
      <c r="I64" s="601"/>
      <c r="J64" s="636">
        <v>133730</v>
      </c>
      <c r="K64" s="604">
        <v>129861</v>
      </c>
      <c r="L64" s="638">
        <v>133730</v>
      </c>
      <c r="M64" s="605">
        <f>J64*20%</f>
        <v>26746</v>
      </c>
      <c r="N64" s="604">
        <f t="shared" ref="N64:N69" si="31">J64-M64</f>
        <v>106984</v>
      </c>
      <c r="O64" s="604">
        <f t="shared" ref="O64:O69" si="32">$N64*$W$63</f>
        <v>104309.4</v>
      </c>
      <c r="P64" s="604">
        <f t="shared" ref="P64:P69" si="33">O64-T64-U64</f>
        <v>50863.399999999994</v>
      </c>
      <c r="Q64" s="604">
        <f t="shared" ref="Q64:Q69" si="34">N64-O64</f>
        <v>2674.6000000000058</v>
      </c>
      <c r="R64" s="604"/>
      <c r="S64" s="604">
        <v>104309.40000000001</v>
      </c>
      <c r="T64" s="604">
        <f>S64*0.05</f>
        <v>5215.4700000000012</v>
      </c>
      <c r="U64" s="621">
        <f>106892/2-T64</f>
        <v>48230.53</v>
      </c>
      <c r="V64" s="604">
        <f t="shared" ref="V64:V69" si="35">S64-T64-U64</f>
        <v>50863.400000000009</v>
      </c>
      <c r="W64" s="604"/>
      <c r="X64" s="607">
        <f t="shared" si="3"/>
        <v>1.0000000000000002</v>
      </c>
      <c r="Y64" s="608">
        <f t="shared" ref="Y64:Y69" si="36">S64*12</f>
        <v>1251712.8</v>
      </c>
      <c r="AA64" s="609">
        <f>D64*'Don gia XCSDL DC'!$K$8</f>
        <v>12454.022018725615</v>
      </c>
      <c r="AB64" s="609">
        <f>D64*'Don gia XCSDL DC'!$K$9</f>
        <v>11882.655443725616</v>
      </c>
      <c r="AC64" s="609" t="e">
        <f>D64*'Don gia XCSDL DC'!#REF!</f>
        <v>#REF!</v>
      </c>
      <c r="AD64" s="609">
        <f>D64*'Don gia XCSDL DC'!$K$10</f>
        <v>47848.205353578029</v>
      </c>
      <c r="AE64" s="609">
        <f>J64*'Don gia XCSDL DC'!$K$11</f>
        <v>0</v>
      </c>
      <c r="AF64" s="609" t="e">
        <f>S64*'Don gia XCSDL DC'!#REF!</f>
        <v>#REF!</v>
      </c>
      <c r="AG64" s="609" t="e">
        <f>D64*'Don gia XCSDL DC'!#REF!</f>
        <v>#REF!</v>
      </c>
      <c r="AH64" s="609" t="e">
        <f>J64*'Don gia XCSDL DC'!#REF!</f>
        <v>#REF!</v>
      </c>
      <c r="AI64" s="609" t="e">
        <f>D64*'Don gia XCSDL DC'!#REF!</f>
        <v>#REF!</v>
      </c>
      <c r="AJ64" s="609">
        <f>S64*2*'Don gia XCSDL DC'!$K$24</f>
        <v>1783813394.579514</v>
      </c>
      <c r="AK64" s="609" t="e">
        <f>S64*3*'Don gia XCSDL DC'!#REF!</f>
        <v>#REF!</v>
      </c>
      <c r="AL64" s="609" t="e">
        <f>(S64*2+S64*3)*('Don gia XCSDL DC'!#REF!+'Don gia XCSDL DC'!#REF!+'Don gia XCSDL DC'!#REF!)</f>
        <v>#REF!</v>
      </c>
      <c r="AM64" s="609" t="e">
        <f>O64*'Don gia XCSDL DC'!#REF!*50%</f>
        <v>#REF!</v>
      </c>
      <c r="AN64" s="609" t="e">
        <f>T64*'Don gia XCSDL DC'!#REF!*$AN$8</f>
        <v>#REF!</v>
      </c>
      <c r="AO64" s="609" t="e">
        <f>U64*'Don gia XCSDL DC'!#REF!*1</f>
        <v>#REF!</v>
      </c>
      <c r="AP64" s="609" t="e">
        <f>P64*X64*'Don gia XCSDL DC'!#REF!</f>
        <v>#REF!</v>
      </c>
      <c r="AQ64" s="609" t="e">
        <f>Q64*$AQ$8*'Don gia XCSDL DC'!#REF!</f>
        <v>#REF!</v>
      </c>
      <c r="AR64" s="609" t="e">
        <f>M64*$AR$8*'Don gia XCSDL DC'!#REF!</f>
        <v>#REF!</v>
      </c>
      <c r="AS64" s="609" t="e">
        <f>J64*'Don gia XCSDL DC'!#REF!</f>
        <v>#REF!</v>
      </c>
      <c r="AT64" s="609">
        <f>D64*'Don gia XCSDL DC'!$K$26</f>
        <v>0</v>
      </c>
      <c r="AU64" s="609">
        <f>J64*'Don gia XCSDL DC'!$K$34</f>
        <v>0</v>
      </c>
      <c r="AV64" s="609">
        <f>O64*'Don gia XCSDL DC'!$K$37</f>
        <v>0</v>
      </c>
      <c r="AW64" s="610" t="e">
        <f t="shared" si="8"/>
        <v>#REF!</v>
      </c>
      <c r="AX64" s="611" t="e">
        <f t="shared" si="9"/>
        <v>#REF!</v>
      </c>
      <c r="AY64" s="806" t="e">
        <f t="shared" si="6"/>
        <v>#REF!</v>
      </c>
      <c r="AZ64" s="612" t="e">
        <f>D64*'Don gia XCSDL DC'!#REF!</f>
        <v>#REF!</v>
      </c>
      <c r="BA64" s="613" t="e">
        <f>(Q64+M64)*'Don gia XCSDL DC'!#REF!</f>
        <v>#REF!</v>
      </c>
    </row>
    <row r="65" spans="1:53" ht="20.25" customHeight="1">
      <c r="A65" s="599"/>
      <c r="B65" s="445">
        <v>2</v>
      </c>
      <c r="C65" s="445" t="s">
        <v>331</v>
      </c>
      <c r="D65" s="600">
        <v>15</v>
      </c>
      <c r="E65" s="637">
        <v>15</v>
      </c>
      <c r="F65" s="601">
        <v>1</v>
      </c>
      <c r="G65" s="602">
        <v>1</v>
      </c>
      <c r="H65" s="601"/>
      <c r="I65" s="601"/>
      <c r="J65" s="636">
        <f>49584*1.15</f>
        <v>57021.599999999999</v>
      </c>
      <c r="K65" s="604">
        <v>49584</v>
      </c>
      <c r="L65" s="604">
        <v>49584</v>
      </c>
      <c r="M65" s="605">
        <f>J65*10%</f>
        <v>5702.16</v>
      </c>
      <c r="N65" s="604">
        <f t="shared" si="31"/>
        <v>51319.44</v>
      </c>
      <c r="O65" s="604">
        <f t="shared" si="32"/>
        <v>50036.453999999998</v>
      </c>
      <c r="P65" s="604">
        <f t="shared" si="33"/>
        <v>36285.853999999999</v>
      </c>
      <c r="Q65" s="604">
        <f t="shared" si="34"/>
        <v>1282.9860000000044</v>
      </c>
      <c r="R65" s="604"/>
      <c r="S65" s="604">
        <v>38675.520000000004</v>
      </c>
      <c r="T65" s="604">
        <f>S65*0.05</f>
        <v>1933.7760000000003</v>
      </c>
      <c r="U65" s="621">
        <f>68753/5-T65</f>
        <v>11816.824000000001</v>
      </c>
      <c r="V65" s="604">
        <f t="shared" si="35"/>
        <v>24924.920000000006</v>
      </c>
      <c r="W65" s="604"/>
      <c r="X65" s="607">
        <f t="shared" si="3"/>
        <v>0.74816239504195259</v>
      </c>
      <c r="Y65" s="608">
        <f t="shared" si="36"/>
        <v>464106.24000000005</v>
      </c>
      <c r="AA65" s="609">
        <f>D65*'Don gia XCSDL DC'!$K$8</f>
        <v>6918.9011215142309</v>
      </c>
      <c r="AB65" s="609">
        <f>D65*'Don gia XCSDL DC'!$K$9</f>
        <v>6601.4752465142319</v>
      </c>
      <c r="AC65" s="609" t="e">
        <f>D65*'Don gia XCSDL DC'!#REF!</f>
        <v>#REF!</v>
      </c>
      <c r="AD65" s="609">
        <f>D65*'Don gia XCSDL DC'!$K$10</f>
        <v>26582.336307543348</v>
      </c>
      <c r="AE65" s="609">
        <f>J65*'Don gia XCSDL DC'!$K$11</f>
        <v>0</v>
      </c>
      <c r="AF65" s="609" t="e">
        <f>S65*'Don gia XCSDL DC'!#REF!</f>
        <v>#REF!</v>
      </c>
      <c r="AG65" s="609" t="e">
        <f>D65*'Don gia XCSDL DC'!#REF!</f>
        <v>#REF!</v>
      </c>
      <c r="AH65" s="609" t="e">
        <f>J65*'Don gia XCSDL DC'!#REF!</f>
        <v>#REF!</v>
      </c>
      <c r="AI65" s="609" t="e">
        <f>D65*'Don gia XCSDL DC'!#REF!</f>
        <v>#REF!</v>
      </c>
      <c r="AJ65" s="609">
        <f>S65*2*'Don gia XCSDL DC'!$K$24</f>
        <v>661396869.48949838</v>
      </c>
      <c r="AK65" s="609" t="e">
        <f>S65*3*'Don gia XCSDL DC'!#REF!</f>
        <v>#REF!</v>
      </c>
      <c r="AL65" s="609" t="e">
        <f>(S65*2+S65*3)*('Don gia XCSDL DC'!#REF!+'Don gia XCSDL DC'!#REF!+'Don gia XCSDL DC'!#REF!)</f>
        <v>#REF!</v>
      </c>
      <c r="AM65" s="609" t="e">
        <f>O65*'Don gia XCSDL DC'!#REF!*50%</f>
        <v>#REF!</v>
      </c>
      <c r="AN65" s="609" t="e">
        <f>T65*'Don gia XCSDL DC'!#REF!*$AN$8</f>
        <v>#REF!</v>
      </c>
      <c r="AO65" s="609" t="e">
        <f>U65*'Don gia XCSDL DC'!#REF!*1</f>
        <v>#REF!</v>
      </c>
      <c r="AP65" s="609" t="e">
        <f>P65*X65*'Don gia XCSDL DC'!#REF!</f>
        <v>#REF!</v>
      </c>
      <c r="AQ65" s="609" t="e">
        <f>Q65*$AQ$8*'Don gia XCSDL DC'!#REF!</f>
        <v>#REF!</v>
      </c>
      <c r="AR65" s="609" t="e">
        <f>M65*$AR$8*'Don gia XCSDL DC'!#REF!</f>
        <v>#REF!</v>
      </c>
      <c r="AS65" s="609" t="e">
        <f>J65*'Don gia XCSDL DC'!#REF!</f>
        <v>#REF!</v>
      </c>
      <c r="AT65" s="609">
        <f>D65*'Don gia XCSDL DC'!$K$26</f>
        <v>0</v>
      </c>
      <c r="AU65" s="609">
        <f>J65*'Don gia XCSDL DC'!$K$34</f>
        <v>0</v>
      </c>
      <c r="AV65" s="609">
        <f>O65*'Don gia XCSDL DC'!$K$37</f>
        <v>0</v>
      </c>
      <c r="AW65" s="610" t="e">
        <f t="shared" si="8"/>
        <v>#REF!</v>
      </c>
      <c r="AX65" s="611" t="e">
        <f t="shared" si="9"/>
        <v>#REF!</v>
      </c>
      <c r="AY65" s="806" t="e">
        <f t="shared" si="6"/>
        <v>#REF!</v>
      </c>
      <c r="AZ65" s="612" t="e">
        <f>D65*'Don gia XCSDL DC'!#REF!</f>
        <v>#REF!</v>
      </c>
      <c r="BA65" s="613" t="e">
        <f>(Q65+M65)*'Don gia XCSDL DC'!#REF!</f>
        <v>#REF!</v>
      </c>
    </row>
    <row r="66" spans="1:53" ht="20.25" customHeight="1">
      <c r="A66" s="599"/>
      <c r="B66" s="445">
        <v>3</v>
      </c>
      <c r="C66" s="445" t="s">
        <v>332</v>
      </c>
      <c r="D66" s="600">
        <v>15</v>
      </c>
      <c r="E66" s="637">
        <v>15</v>
      </c>
      <c r="F66" s="601">
        <v>1</v>
      </c>
      <c r="G66" s="602">
        <v>1</v>
      </c>
      <c r="H66" s="601"/>
      <c r="I66" s="601"/>
      <c r="J66" s="636">
        <f>32549*1.15</f>
        <v>37431.35</v>
      </c>
      <c r="K66" s="604">
        <v>32549</v>
      </c>
      <c r="L66" s="604">
        <v>32549</v>
      </c>
      <c r="M66" s="605">
        <f>J66*10%</f>
        <v>3743.1350000000002</v>
      </c>
      <c r="N66" s="604">
        <f t="shared" si="31"/>
        <v>33688.214999999997</v>
      </c>
      <c r="O66" s="604">
        <f t="shared" si="32"/>
        <v>32846.009624999999</v>
      </c>
      <c r="P66" s="604">
        <f t="shared" si="33"/>
        <v>7484.0096249999988</v>
      </c>
      <c r="Q66" s="604">
        <f t="shared" si="34"/>
        <v>842.20537499999773</v>
      </c>
      <c r="R66" s="604"/>
      <c r="S66" s="604">
        <v>25388.22</v>
      </c>
      <c r="T66" s="604">
        <f>S66*0.05</f>
        <v>1269.4110000000001</v>
      </c>
      <c r="U66" s="621">
        <f>152172/6-T66</f>
        <v>24092.589</v>
      </c>
      <c r="V66" s="604">
        <f t="shared" si="35"/>
        <v>26.220000000001164</v>
      </c>
      <c r="W66" s="604"/>
      <c r="X66" s="607">
        <f t="shared" si="3"/>
        <v>0.19847018204728625</v>
      </c>
      <c r="Y66" s="608">
        <f t="shared" si="36"/>
        <v>304658.64</v>
      </c>
      <c r="AA66" s="609">
        <f>D66*'Don gia XCSDL DC'!$K$8</f>
        <v>6918.9011215142309</v>
      </c>
      <c r="AB66" s="609">
        <f>D66*'Don gia XCSDL DC'!$K$9</f>
        <v>6601.4752465142319</v>
      </c>
      <c r="AC66" s="609" t="e">
        <f>D66*'Don gia XCSDL DC'!#REF!</f>
        <v>#REF!</v>
      </c>
      <c r="AD66" s="609">
        <f>D66*'Don gia XCSDL DC'!$K$10</f>
        <v>26582.336307543348</v>
      </c>
      <c r="AE66" s="609">
        <f>J66*'Don gia XCSDL DC'!$K$11</f>
        <v>0</v>
      </c>
      <c r="AF66" s="609" t="e">
        <f>S66*'Don gia XCSDL DC'!#REF!</f>
        <v>#REF!</v>
      </c>
      <c r="AG66" s="609" t="e">
        <f>D66*'Don gia XCSDL DC'!#REF!</f>
        <v>#REF!</v>
      </c>
      <c r="AH66" s="609" t="e">
        <f>J66*'Don gia XCSDL DC'!#REF!</f>
        <v>#REF!</v>
      </c>
      <c r="AI66" s="609" t="e">
        <f>D66*'Don gia XCSDL DC'!#REF!</f>
        <v>#REF!</v>
      </c>
      <c r="AJ66" s="609">
        <f>S66*2*'Don gia XCSDL DC'!$K$24</f>
        <v>434168415.31570029</v>
      </c>
      <c r="AK66" s="609" t="e">
        <f>S66*3*'Don gia XCSDL DC'!#REF!</f>
        <v>#REF!</v>
      </c>
      <c r="AL66" s="609" t="e">
        <f>(S66*2+S66*3)*('Don gia XCSDL DC'!#REF!+'Don gia XCSDL DC'!#REF!+'Don gia XCSDL DC'!#REF!)</f>
        <v>#REF!</v>
      </c>
      <c r="AM66" s="609" t="e">
        <f>O66*'Don gia XCSDL DC'!#REF!*50%</f>
        <v>#REF!</v>
      </c>
      <c r="AN66" s="609" t="e">
        <f>T66*'Don gia XCSDL DC'!#REF!*$AN$8</f>
        <v>#REF!</v>
      </c>
      <c r="AO66" s="609" t="e">
        <f>U66*'Don gia XCSDL DC'!#REF!*1</f>
        <v>#REF!</v>
      </c>
      <c r="AP66" s="609" t="e">
        <f>P66*X66*'Don gia XCSDL DC'!#REF!</f>
        <v>#REF!</v>
      </c>
      <c r="AQ66" s="609" t="e">
        <f>Q66*$AQ$8*'Don gia XCSDL DC'!#REF!</f>
        <v>#REF!</v>
      </c>
      <c r="AR66" s="609" t="e">
        <f>M66*$AR$8*'Don gia XCSDL DC'!#REF!</f>
        <v>#REF!</v>
      </c>
      <c r="AS66" s="609" t="e">
        <f>J66*'Don gia XCSDL DC'!#REF!</f>
        <v>#REF!</v>
      </c>
      <c r="AT66" s="609">
        <f>D66*'Don gia XCSDL DC'!$K$26</f>
        <v>0</v>
      </c>
      <c r="AU66" s="609">
        <f>J66*'Don gia XCSDL DC'!$K$34</f>
        <v>0</v>
      </c>
      <c r="AV66" s="609">
        <f>O66*'Don gia XCSDL DC'!$K$37</f>
        <v>0</v>
      </c>
      <c r="AW66" s="610" t="e">
        <f t="shared" si="8"/>
        <v>#REF!</v>
      </c>
      <c r="AX66" s="611" t="e">
        <f t="shared" si="9"/>
        <v>#REF!</v>
      </c>
      <c r="AY66" s="806" t="e">
        <f t="shared" si="6"/>
        <v>#REF!</v>
      </c>
      <c r="AZ66" s="612" t="e">
        <f>D66*'Don gia XCSDL DC'!#REF!</f>
        <v>#REF!</v>
      </c>
      <c r="BA66" s="613" t="e">
        <f>(Q66+M66)*'Don gia XCSDL DC'!#REF!</f>
        <v>#REF!</v>
      </c>
    </row>
    <row r="67" spans="1:53" ht="20.25" customHeight="1">
      <c r="A67" s="599"/>
      <c r="B67" s="445">
        <v>4</v>
      </c>
      <c r="C67" s="445" t="s">
        <v>333</v>
      </c>
      <c r="D67" s="600">
        <v>22</v>
      </c>
      <c r="E67" s="637">
        <v>22</v>
      </c>
      <c r="F67" s="601">
        <v>1</v>
      </c>
      <c r="G67" s="602">
        <v>1</v>
      </c>
      <c r="H67" s="601"/>
      <c r="I67" s="601"/>
      <c r="J67" s="636">
        <v>165513</v>
      </c>
      <c r="K67" s="604"/>
      <c r="L67" s="638">
        <v>165513</v>
      </c>
      <c r="M67" s="605">
        <f>J67*20%</f>
        <v>33102.6</v>
      </c>
      <c r="N67" s="604">
        <f t="shared" si="31"/>
        <v>132410.4</v>
      </c>
      <c r="O67" s="604">
        <f t="shared" si="32"/>
        <v>129100.13999999998</v>
      </c>
      <c r="P67" s="604">
        <f t="shared" si="33"/>
        <v>101631.93999999999</v>
      </c>
      <c r="Q67" s="604">
        <f t="shared" si="34"/>
        <v>3310.2600000000093</v>
      </c>
      <c r="R67" s="604"/>
      <c r="S67" s="604">
        <v>129100.14</v>
      </c>
      <c r="T67" s="604">
        <f>S67*0.05</f>
        <v>6455.0070000000005</v>
      </c>
      <c r="U67" s="621">
        <f>137341/5-T67</f>
        <v>21013.192999999999</v>
      </c>
      <c r="V67" s="604">
        <f t="shared" si="35"/>
        <v>101631.94</v>
      </c>
      <c r="W67" s="604"/>
      <c r="X67" s="607">
        <f t="shared" si="3"/>
        <v>1.0000000000000002</v>
      </c>
      <c r="Y67" s="608">
        <f t="shared" si="36"/>
        <v>1549201.68</v>
      </c>
      <c r="AA67" s="609">
        <f>D67*'Don gia XCSDL DC'!$K$8</f>
        <v>10147.721644887539</v>
      </c>
      <c r="AB67" s="609">
        <f>D67*'Don gia XCSDL DC'!$K$9</f>
        <v>9682.1636948875403</v>
      </c>
      <c r="AC67" s="609" t="e">
        <f>D67*'Don gia XCSDL DC'!#REF!</f>
        <v>#REF!</v>
      </c>
      <c r="AD67" s="609">
        <f>D67*'Don gia XCSDL DC'!$K$10</f>
        <v>38987.426584396911</v>
      </c>
      <c r="AE67" s="609">
        <f>J67*'Don gia XCSDL DC'!$K$11</f>
        <v>0</v>
      </c>
      <c r="AF67" s="609" t="e">
        <f>S67*'Don gia XCSDL DC'!#REF!</f>
        <v>#REF!</v>
      </c>
      <c r="AG67" s="609" t="e">
        <f>D67*'Don gia XCSDL DC'!#REF!</f>
        <v>#REF!</v>
      </c>
      <c r="AH67" s="609" t="e">
        <f>J67*'Don gia XCSDL DC'!#REF!</f>
        <v>#REF!</v>
      </c>
      <c r="AI67" s="609" t="e">
        <f>D67*'Don gia XCSDL DC'!#REF!</f>
        <v>#REF!</v>
      </c>
      <c r="AJ67" s="609">
        <f>S67*2*'Don gia XCSDL DC'!$K$24</f>
        <v>2207764199.3347721</v>
      </c>
      <c r="AK67" s="609" t="e">
        <f>S67*3*'Don gia XCSDL DC'!#REF!</f>
        <v>#REF!</v>
      </c>
      <c r="AL67" s="609" t="e">
        <f>(S67*2+S67*3)*('Don gia XCSDL DC'!#REF!+'Don gia XCSDL DC'!#REF!+'Don gia XCSDL DC'!#REF!)</f>
        <v>#REF!</v>
      </c>
      <c r="AM67" s="609" t="e">
        <f>O67*'Don gia XCSDL DC'!#REF!*50%</f>
        <v>#REF!</v>
      </c>
      <c r="AN67" s="609" t="e">
        <f>T67*'Don gia XCSDL DC'!#REF!*$AN$8</f>
        <v>#REF!</v>
      </c>
      <c r="AO67" s="609" t="e">
        <f>U67*'Don gia XCSDL DC'!#REF!*1</f>
        <v>#REF!</v>
      </c>
      <c r="AP67" s="609" t="e">
        <f>P67*X67*'Don gia XCSDL DC'!#REF!</f>
        <v>#REF!</v>
      </c>
      <c r="AQ67" s="609" t="e">
        <f>Q67*$AQ$8*'Don gia XCSDL DC'!#REF!</f>
        <v>#REF!</v>
      </c>
      <c r="AR67" s="609" t="e">
        <f>M67*$AR$8*'Don gia XCSDL DC'!#REF!</f>
        <v>#REF!</v>
      </c>
      <c r="AS67" s="609" t="e">
        <f>J67*'Don gia XCSDL DC'!#REF!</f>
        <v>#REF!</v>
      </c>
      <c r="AT67" s="609">
        <f>D67*'Don gia XCSDL DC'!$K$26</f>
        <v>0</v>
      </c>
      <c r="AU67" s="609">
        <f>J67*'Don gia XCSDL DC'!$K$34</f>
        <v>0</v>
      </c>
      <c r="AV67" s="609">
        <f>O67*'Don gia XCSDL DC'!$K$37</f>
        <v>0</v>
      </c>
      <c r="AW67" s="610" t="e">
        <f t="shared" si="8"/>
        <v>#REF!</v>
      </c>
      <c r="AX67" s="611" t="e">
        <f t="shared" si="9"/>
        <v>#REF!</v>
      </c>
      <c r="AY67" s="806" t="e">
        <f t="shared" si="6"/>
        <v>#REF!</v>
      </c>
      <c r="AZ67" s="612" t="e">
        <f>D67*'Don gia XCSDL DC'!#REF!</f>
        <v>#REF!</v>
      </c>
      <c r="BA67" s="613" t="e">
        <f>(Q67+M67)*'Don gia XCSDL DC'!#REF!</f>
        <v>#REF!</v>
      </c>
    </row>
    <row r="68" spans="1:53" ht="20.25" customHeight="1">
      <c r="A68" s="599"/>
      <c r="B68" s="445">
        <v>5</v>
      </c>
      <c r="C68" s="445" t="s">
        <v>334</v>
      </c>
      <c r="D68" s="600">
        <v>19</v>
      </c>
      <c r="E68" s="637">
        <v>19</v>
      </c>
      <c r="F68" s="601">
        <v>1</v>
      </c>
      <c r="G68" s="602">
        <v>1</v>
      </c>
      <c r="H68" s="601"/>
      <c r="I68" s="601"/>
      <c r="J68" s="636">
        <v>287942</v>
      </c>
      <c r="K68" s="604"/>
      <c r="L68" s="638">
        <v>287942</v>
      </c>
      <c r="M68" s="605">
        <f>J68*20%</f>
        <v>57588.4</v>
      </c>
      <c r="N68" s="604">
        <f t="shared" si="31"/>
        <v>230353.6</v>
      </c>
      <c r="O68" s="604">
        <f t="shared" si="32"/>
        <v>224594.76</v>
      </c>
      <c r="P68" s="604">
        <f t="shared" si="33"/>
        <v>199374.96000000002</v>
      </c>
      <c r="Q68" s="604">
        <f t="shared" si="34"/>
        <v>5758.8399999999965</v>
      </c>
      <c r="R68" s="604"/>
      <c r="S68" s="604">
        <v>224594.76</v>
      </c>
      <c r="T68" s="604">
        <f>S68*0.02</f>
        <v>4491.8951999999999</v>
      </c>
      <c r="U68" s="621">
        <f>126099/5-T68</f>
        <v>20727.9048</v>
      </c>
      <c r="V68" s="604">
        <f t="shared" si="35"/>
        <v>199374.96000000002</v>
      </c>
      <c r="W68" s="604"/>
      <c r="X68" s="607">
        <f t="shared" si="3"/>
        <v>1</v>
      </c>
      <c r="Y68" s="608">
        <f t="shared" si="36"/>
        <v>2695137.12</v>
      </c>
      <c r="AA68" s="609">
        <f>D68*'Don gia XCSDL DC'!$K$8</f>
        <v>8763.9414205846915</v>
      </c>
      <c r="AB68" s="609">
        <f>D68*'Don gia XCSDL DC'!$K$9</f>
        <v>8361.8686455846928</v>
      </c>
      <c r="AC68" s="609" t="e">
        <f>D68*'Don gia XCSDL DC'!#REF!</f>
        <v>#REF!</v>
      </c>
      <c r="AD68" s="609">
        <f>D68*'Don gia XCSDL DC'!$K$10</f>
        <v>33670.959322888244</v>
      </c>
      <c r="AE68" s="609">
        <f>J68*'Don gia XCSDL DC'!$K$11</f>
        <v>0</v>
      </c>
      <c r="AF68" s="609" t="e">
        <f>S68*'Don gia XCSDL DC'!#REF!</f>
        <v>#REF!</v>
      </c>
      <c r="AG68" s="609" t="e">
        <f>D68*'Don gia XCSDL DC'!#REF!</f>
        <v>#REF!</v>
      </c>
      <c r="AH68" s="609" t="e">
        <f>J68*'Don gia XCSDL DC'!#REF!</f>
        <v>#REF!</v>
      </c>
      <c r="AI68" s="609" t="e">
        <f>D68*'Don gia XCSDL DC'!#REF!</f>
        <v>#REF!</v>
      </c>
      <c r="AJ68" s="609">
        <f>S68*2*'Don gia XCSDL DC'!$K$24</f>
        <v>3840834490.854815</v>
      </c>
      <c r="AK68" s="609" t="e">
        <f>S68*3*'Don gia XCSDL DC'!#REF!</f>
        <v>#REF!</v>
      </c>
      <c r="AL68" s="609" t="e">
        <f>(S68*2+S68*3)*('Don gia XCSDL DC'!#REF!+'Don gia XCSDL DC'!#REF!+'Don gia XCSDL DC'!#REF!)</f>
        <v>#REF!</v>
      </c>
      <c r="AM68" s="609" t="e">
        <f>O68*'Don gia XCSDL DC'!#REF!*50%</f>
        <v>#REF!</v>
      </c>
      <c r="AN68" s="609" t="e">
        <f>T68*'Don gia XCSDL DC'!#REF!*$AN$8</f>
        <v>#REF!</v>
      </c>
      <c r="AO68" s="609" t="e">
        <f>U68*'Don gia XCSDL DC'!#REF!*1</f>
        <v>#REF!</v>
      </c>
      <c r="AP68" s="609" t="e">
        <f>P68*X68*'Don gia XCSDL DC'!#REF!</f>
        <v>#REF!</v>
      </c>
      <c r="AQ68" s="609" t="e">
        <f>Q68*$AQ$8*'Don gia XCSDL DC'!#REF!</f>
        <v>#REF!</v>
      </c>
      <c r="AR68" s="609" t="e">
        <f>M68*$AR$8*'Don gia XCSDL DC'!#REF!</f>
        <v>#REF!</v>
      </c>
      <c r="AS68" s="609" t="e">
        <f>J68*'Don gia XCSDL DC'!#REF!</f>
        <v>#REF!</v>
      </c>
      <c r="AT68" s="609">
        <f>D68*'Don gia XCSDL DC'!$K$26</f>
        <v>0</v>
      </c>
      <c r="AU68" s="609">
        <f>J68*'Don gia XCSDL DC'!$K$34</f>
        <v>0</v>
      </c>
      <c r="AV68" s="609">
        <f>O68*'Don gia XCSDL DC'!$K$37</f>
        <v>0</v>
      </c>
      <c r="AW68" s="610" t="e">
        <f t="shared" si="8"/>
        <v>#REF!</v>
      </c>
      <c r="AX68" s="611" t="e">
        <f t="shared" si="9"/>
        <v>#REF!</v>
      </c>
      <c r="AY68" s="806" t="e">
        <f t="shared" si="6"/>
        <v>#REF!</v>
      </c>
      <c r="AZ68" s="612" t="e">
        <f>D68*'Don gia XCSDL DC'!#REF!</f>
        <v>#REF!</v>
      </c>
      <c r="BA68" s="613" t="e">
        <f>(Q68+M68)*'Don gia XCSDL DC'!#REF!</f>
        <v>#REF!</v>
      </c>
    </row>
    <row r="69" spans="1:53" ht="20.25" customHeight="1">
      <c r="A69" s="599"/>
      <c r="B69" s="445">
        <v>6</v>
      </c>
      <c r="C69" s="445" t="s">
        <v>335</v>
      </c>
      <c r="D69" s="600">
        <v>14</v>
      </c>
      <c r="E69" s="601">
        <v>14</v>
      </c>
      <c r="F69" s="601">
        <v>1</v>
      </c>
      <c r="G69" s="602">
        <v>1</v>
      </c>
      <c r="H69" s="601"/>
      <c r="I69" s="601"/>
      <c r="J69" s="621">
        <f>45865*1.15</f>
        <v>52744.749999999993</v>
      </c>
      <c r="K69" s="604"/>
      <c r="L69" s="638"/>
      <c r="M69" s="605">
        <f>J69*10%</f>
        <v>5274.4749999999995</v>
      </c>
      <c r="N69" s="604">
        <f t="shared" si="31"/>
        <v>47470.274999999994</v>
      </c>
      <c r="O69" s="604">
        <f t="shared" si="32"/>
        <v>46283.518124999995</v>
      </c>
      <c r="P69" s="604">
        <f t="shared" si="33"/>
        <v>36105.118124999994</v>
      </c>
      <c r="Q69" s="604">
        <f t="shared" si="34"/>
        <v>1186.7568749999991</v>
      </c>
      <c r="R69" s="604"/>
      <c r="S69" s="604">
        <v>12763</v>
      </c>
      <c r="T69" s="604">
        <f>S69*0.05</f>
        <v>638.15000000000009</v>
      </c>
      <c r="U69" s="621">
        <f>50892/5-T69</f>
        <v>9540.25</v>
      </c>
      <c r="V69" s="604">
        <f t="shared" si="35"/>
        <v>2584.6000000000004</v>
      </c>
      <c r="W69" s="604"/>
      <c r="X69" s="607">
        <f t="shared" si="3"/>
        <v>0.25323174986421199</v>
      </c>
      <c r="Y69" s="608">
        <f t="shared" si="36"/>
        <v>153156</v>
      </c>
      <c r="AA69" s="609">
        <f>D69*'Don gia XCSDL DC'!$K$8</f>
        <v>6457.6410467466158</v>
      </c>
      <c r="AB69" s="609">
        <f>D69*'Don gia XCSDL DC'!$K$9</f>
        <v>6161.3768967466167</v>
      </c>
      <c r="AC69" s="609" t="e">
        <f>D69*'Don gia XCSDL DC'!#REF!</f>
        <v>#REF!</v>
      </c>
      <c r="AD69" s="609">
        <f>D69*'Don gia XCSDL DC'!$K$10</f>
        <v>24810.180553707127</v>
      </c>
      <c r="AE69" s="609">
        <f>J69*'Don gia XCSDL DC'!$K$11</f>
        <v>0</v>
      </c>
      <c r="AF69" s="609" t="e">
        <f>S69*'Don gia XCSDL DC'!#REF!</f>
        <v>#REF!</v>
      </c>
      <c r="AG69" s="609" t="e">
        <f>D69*'Don gia XCSDL DC'!#REF!</f>
        <v>#REF!</v>
      </c>
      <c r="AH69" s="609" t="e">
        <f>J69*'Don gia XCSDL DC'!#REF!</f>
        <v>#REF!</v>
      </c>
      <c r="AI69" s="609" t="e">
        <f>D69*'Don gia XCSDL DC'!#REF!</f>
        <v>#REF!</v>
      </c>
      <c r="AJ69" s="609">
        <f>S69*2*'Don gia XCSDL DC'!$K$24</f>
        <v>218262307.66372287</v>
      </c>
      <c r="AK69" s="609" t="e">
        <f>S69*3*'Don gia XCSDL DC'!#REF!</f>
        <v>#REF!</v>
      </c>
      <c r="AL69" s="609" t="e">
        <f>(S69*2+S69*3)*('Don gia XCSDL DC'!#REF!+'Don gia XCSDL DC'!#REF!+'Don gia XCSDL DC'!#REF!)</f>
        <v>#REF!</v>
      </c>
      <c r="AM69" s="609" t="e">
        <f>O69*'Don gia XCSDL DC'!#REF!*50%</f>
        <v>#REF!</v>
      </c>
      <c r="AN69" s="609" t="e">
        <f>T69*'Don gia XCSDL DC'!#REF!*$AN$8</f>
        <v>#REF!</v>
      </c>
      <c r="AO69" s="609" t="e">
        <f>U69*'Don gia XCSDL DC'!#REF!*1</f>
        <v>#REF!</v>
      </c>
      <c r="AP69" s="609" t="e">
        <f>P69*X69*'Don gia XCSDL DC'!#REF!</f>
        <v>#REF!</v>
      </c>
      <c r="AQ69" s="609" t="e">
        <f>Q69*$AQ$8*'Don gia XCSDL DC'!#REF!</f>
        <v>#REF!</v>
      </c>
      <c r="AR69" s="609" t="e">
        <f>M69*$AR$8*'Don gia XCSDL DC'!#REF!</f>
        <v>#REF!</v>
      </c>
      <c r="AS69" s="609" t="e">
        <f>J69*'Don gia XCSDL DC'!#REF!</f>
        <v>#REF!</v>
      </c>
      <c r="AT69" s="609">
        <f>D69*'Don gia XCSDL DC'!$K$26</f>
        <v>0</v>
      </c>
      <c r="AU69" s="609">
        <f>J69*'Don gia XCSDL DC'!$K$34</f>
        <v>0</v>
      </c>
      <c r="AV69" s="609">
        <f>O69*'Don gia XCSDL DC'!$K$37</f>
        <v>0</v>
      </c>
      <c r="AW69" s="610" t="e">
        <f t="shared" si="8"/>
        <v>#REF!</v>
      </c>
      <c r="AX69" s="611" t="e">
        <f t="shared" si="9"/>
        <v>#REF!</v>
      </c>
      <c r="AY69" s="806" t="e">
        <f t="shared" si="6"/>
        <v>#REF!</v>
      </c>
      <c r="AZ69" s="612" t="e">
        <f>D69*'Don gia XCSDL DC'!#REF!</f>
        <v>#REF!</v>
      </c>
      <c r="BA69" s="613" t="e">
        <f>(Q69+M69)*'Don gia XCSDL DC'!#REF!</f>
        <v>#REF!</v>
      </c>
    </row>
    <row r="70" spans="1:53" s="723" customFormat="1" ht="20.25" customHeight="1">
      <c r="A70" s="712"/>
      <c r="B70" s="713"/>
      <c r="C70" s="713" t="s">
        <v>722</v>
      </c>
      <c r="D70" s="714">
        <v>12</v>
      </c>
      <c r="E70" s="715">
        <v>12</v>
      </c>
      <c r="F70" s="715"/>
      <c r="G70" s="715">
        <v>1</v>
      </c>
      <c r="H70" s="715"/>
      <c r="I70" s="748"/>
      <c r="J70" s="749">
        <v>129861</v>
      </c>
      <c r="K70" s="718"/>
      <c r="L70" s="750"/>
      <c r="M70" s="719"/>
      <c r="N70" s="718"/>
      <c r="O70" s="718"/>
      <c r="P70" s="718"/>
      <c r="Q70" s="718"/>
      <c r="R70" s="718"/>
      <c r="S70" s="718"/>
      <c r="T70" s="718"/>
      <c r="U70" s="730"/>
      <c r="V70" s="718"/>
      <c r="W70" s="718"/>
      <c r="X70" s="721"/>
      <c r="Y70" s="722"/>
      <c r="AA70" s="609"/>
      <c r="AB70" s="609"/>
      <c r="AC70" s="609"/>
      <c r="AD70" s="724"/>
      <c r="AE70" s="724"/>
      <c r="AF70" s="724"/>
      <c r="AG70" s="724"/>
      <c r="AH70" s="724"/>
      <c r="AI70" s="724"/>
      <c r="AJ70" s="724"/>
      <c r="AK70" s="724"/>
      <c r="AL70" s="724"/>
      <c r="AM70" s="724"/>
      <c r="AN70" s="724"/>
      <c r="AO70" s="724"/>
      <c r="AP70" s="724"/>
      <c r="AQ70" s="724"/>
      <c r="AR70" s="724"/>
      <c r="AS70" s="724"/>
      <c r="AT70" s="724"/>
      <c r="AU70" s="724"/>
      <c r="AV70" s="609"/>
      <c r="AW70" s="610"/>
      <c r="AX70" s="611"/>
      <c r="AY70" s="807"/>
      <c r="AZ70" s="612"/>
      <c r="BA70" s="613"/>
    </row>
    <row r="71" spans="1:53" s="723" customFormat="1" ht="20.25" customHeight="1">
      <c r="A71" s="712"/>
      <c r="B71" s="713"/>
      <c r="C71" s="713" t="s">
        <v>336</v>
      </c>
      <c r="D71" s="714">
        <v>16</v>
      </c>
      <c r="E71" s="715">
        <v>16</v>
      </c>
      <c r="F71" s="715"/>
      <c r="G71" s="715">
        <v>1</v>
      </c>
      <c r="H71" s="715"/>
      <c r="I71" s="715"/>
      <c r="J71" s="718">
        <f>MIN(L71:Q71)</f>
        <v>199992</v>
      </c>
      <c r="K71" s="716"/>
      <c r="L71" s="751">
        <v>199992</v>
      </c>
      <c r="M71" s="719"/>
      <c r="N71" s="718"/>
      <c r="O71" s="718"/>
      <c r="P71" s="718"/>
      <c r="Q71" s="718"/>
      <c r="R71" s="718"/>
      <c r="S71" s="718"/>
      <c r="T71" s="718"/>
      <c r="U71" s="730"/>
      <c r="V71" s="718"/>
      <c r="W71" s="718"/>
      <c r="X71" s="721"/>
      <c r="Y71" s="722"/>
      <c r="AA71" s="609"/>
      <c r="AB71" s="609"/>
      <c r="AC71" s="609"/>
      <c r="AD71" s="724"/>
      <c r="AE71" s="724"/>
      <c r="AF71" s="724"/>
      <c r="AG71" s="724"/>
      <c r="AH71" s="724"/>
      <c r="AI71" s="724"/>
      <c r="AJ71" s="724"/>
      <c r="AK71" s="724"/>
      <c r="AL71" s="724"/>
      <c r="AM71" s="724"/>
      <c r="AN71" s="724"/>
      <c r="AO71" s="724"/>
      <c r="AP71" s="724"/>
      <c r="AQ71" s="724"/>
      <c r="AR71" s="724"/>
      <c r="AS71" s="724"/>
      <c r="AT71" s="724"/>
      <c r="AU71" s="724"/>
      <c r="AV71" s="609"/>
      <c r="AW71" s="610"/>
      <c r="AX71" s="611"/>
      <c r="AY71" s="807"/>
      <c r="AZ71" s="612"/>
      <c r="BA71" s="613"/>
    </row>
    <row r="72" spans="1:53" s="598" customFormat="1" ht="20.25" customHeight="1">
      <c r="A72" s="589">
        <v>8</v>
      </c>
      <c r="B72" s="1945" t="s">
        <v>337</v>
      </c>
      <c r="C72" s="1945"/>
      <c r="D72" s="594"/>
      <c r="E72" s="595">
        <f>SUM(E73:E78)</f>
        <v>139</v>
      </c>
      <c r="F72" s="595">
        <f>SUM(F73:F78)</f>
        <v>6</v>
      </c>
      <c r="G72" s="596">
        <f>SUM(G73:G80)</f>
        <v>8</v>
      </c>
      <c r="H72" s="595">
        <v>10</v>
      </c>
      <c r="I72" s="595"/>
      <c r="J72" s="595">
        <f t="shared" ref="J72:Q72" si="37">SUM(J73:J78)</f>
        <v>2467031.7451200001</v>
      </c>
      <c r="K72" s="595">
        <f t="shared" si="37"/>
        <v>1140746</v>
      </c>
      <c r="L72" s="595">
        <f t="shared" si="37"/>
        <v>1302555</v>
      </c>
      <c r="M72" s="595">
        <f t="shared" si="37"/>
        <v>863461.11079199996</v>
      </c>
      <c r="N72" s="595">
        <f t="shared" si="37"/>
        <v>1603570.634328</v>
      </c>
      <c r="O72" s="595">
        <f t="shared" si="37"/>
        <v>1363035.0391788001</v>
      </c>
      <c r="P72" s="595">
        <f t="shared" si="37"/>
        <v>1314692.2391788005</v>
      </c>
      <c r="Q72" s="595">
        <f t="shared" si="37"/>
        <v>12026.779757460003</v>
      </c>
      <c r="R72" s="595"/>
      <c r="S72" s="595">
        <f>SUM(S73:S78)</f>
        <v>537686.4</v>
      </c>
      <c r="T72" s="595">
        <f>SUM(T73:T78)</f>
        <v>10753.728000000001</v>
      </c>
      <c r="U72" s="595">
        <f>SUM(U73:U78)</f>
        <v>37589.072</v>
      </c>
      <c r="V72" s="595">
        <f>SUM(V73:V78)</f>
        <v>489343.60000000003</v>
      </c>
      <c r="W72" s="597">
        <f>85%</f>
        <v>0.85</v>
      </c>
      <c r="X72" s="607">
        <f t="shared" ref="X72:X133" si="38">((V72*37)+(P72*9))/(P72*46)</f>
        <v>0.4950397029026587</v>
      </c>
      <c r="Y72" s="595">
        <f>SUM(Y73:Y78)</f>
        <v>6452236.8000000007</v>
      </c>
      <c r="AA72" s="609"/>
      <c r="AB72" s="609"/>
      <c r="AC72" s="609"/>
      <c r="AD72" s="609"/>
      <c r="AE72" s="609"/>
      <c r="AF72" s="609"/>
      <c r="AG72" s="609"/>
      <c r="AH72" s="609"/>
      <c r="AI72" s="609"/>
      <c r="AJ72" s="609"/>
      <c r="AK72" s="609"/>
      <c r="AL72" s="609"/>
      <c r="AM72" s="609"/>
      <c r="AN72" s="609"/>
      <c r="AO72" s="609"/>
      <c r="AP72" s="609"/>
      <c r="AQ72" s="609"/>
      <c r="AR72" s="609"/>
      <c r="AS72" s="609"/>
      <c r="AT72" s="609"/>
      <c r="AU72" s="609"/>
      <c r="AV72" s="609"/>
      <c r="AW72" s="610"/>
      <c r="AX72" s="611"/>
      <c r="AY72" s="806"/>
      <c r="AZ72" s="612"/>
      <c r="BA72" s="613"/>
    </row>
    <row r="73" spans="1:53" ht="20.25" customHeight="1">
      <c r="A73" s="599"/>
      <c r="B73" s="445">
        <v>1</v>
      </c>
      <c r="C73" s="445" t="s">
        <v>338</v>
      </c>
      <c r="D73" s="600">
        <v>19</v>
      </c>
      <c r="E73" s="601">
        <v>19</v>
      </c>
      <c r="F73" s="601">
        <v>1</v>
      </c>
      <c r="G73" s="602">
        <v>1</v>
      </c>
      <c r="H73" s="601"/>
      <c r="I73" s="630"/>
      <c r="J73" s="639">
        <f>429227.4448*0.8</f>
        <v>343381.95584000001</v>
      </c>
      <c r="K73" s="604">
        <v>269578</v>
      </c>
      <c r="L73" s="604">
        <f>145208/4*5+17000</f>
        <v>198510</v>
      </c>
      <c r="M73" s="605">
        <f t="shared" ref="M73:M78" si="39">J73*35%</f>
        <v>120183.68454399999</v>
      </c>
      <c r="N73" s="604">
        <f t="shared" ref="N73:N78" si="40">J73-M73</f>
        <v>223198.27129600002</v>
      </c>
      <c r="O73" s="604">
        <f t="shared" ref="O73:O78" si="41">$N73*$W$72</f>
        <v>189718.53060160001</v>
      </c>
      <c r="P73" s="604">
        <f t="shared" ref="P73:P78" si="42">O73-T73-U73</f>
        <v>181721.73060160002</v>
      </c>
      <c r="Q73" s="604">
        <f t="shared" ref="Q73:Q78" si="43">(N73-O73)*5%</f>
        <v>1673.9870347200006</v>
      </c>
      <c r="R73" s="604"/>
      <c r="S73" s="604">
        <f>93238*0.8</f>
        <v>74590.400000000009</v>
      </c>
      <c r="T73" s="604">
        <f t="shared" ref="T73:T78" si="44">S73*0.02</f>
        <v>1491.8080000000002</v>
      </c>
      <c r="U73" s="621">
        <f>159936/20-T73</f>
        <v>6504.9920000000002</v>
      </c>
      <c r="V73" s="604">
        <f t="shared" ref="V73:V78" si="45">S73-T73-U73</f>
        <v>66593.600000000006</v>
      </c>
      <c r="W73" s="604"/>
      <c r="X73" s="607">
        <f t="shared" si="38"/>
        <v>0.49041283469905034</v>
      </c>
      <c r="Y73" s="608">
        <f t="shared" ref="Y73:Y78" si="46">S73*12</f>
        <v>895084.8</v>
      </c>
      <c r="AA73" s="609">
        <f>D73*'Don gia XCSDL DC'!$K$8</f>
        <v>8763.9414205846915</v>
      </c>
      <c r="AB73" s="609">
        <f>D73*'Don gia XCSDL DC'!$K$9</f>
        <v>8361.8686455846928</v>
      </c>
      <c r="AC73" s="609" t="e">
        <f>D73*'Don gia XCSDL DC'!#REF!</f>
        <v>#REF!</v>
      </c>
      <c r="AD73" s="609">
        <f>D73*'Don gia XCSDL DC'!$K$10</f>
        <v>33670.959322888244</v>
      </c>
      <c r="AE73" s="609">
        <f>J73*'Don gia XCSDL DC'!$K$11</f>
        <v>0</v>
      </c>
      <c r="AF73" s="609" t="e">
        <f>S73*'Don gia XCSDL DC'!#REF!</f>
        <v>#REF!</v>
      </c>
      <c r="AG73" s="609" t="e">
        <f>D73*'Don gia XCSDL DC'!#REF!</f>
        <v>#REF!</v>
      </c>
      <c r="AH73" s="609" t="e">
        <f>J73*'Don gia XCSDL DC'!#REF!</f>
        <v>#REF!</v>
      </c>
      <c r="AI73" s="609" t="e">
        <f>D73*'Don gia XCSDL DC'!#REF!</f>
        <v>#REF!</v>
      </c>
      <c r="AJ73" s="609">
        <f>S73*2*'Don gia XCSDL DC'!$K$24</f>
        <v>1275583548.8176885</v>
      </c>
      <c r="AK73" s="609" t="e">
        <f>S73*3*'Don gia XCSDL DC'!#REF!</f>
        <v>#REF!</v>
      </c>
      <c r="AL73" s="609" t="e">
        <f>(S73*2+S73*3)*('Don gia XCSDL DC'!#REF!+'Don gia XCSDL DC'!#REF!+'Don gia XCSDL DC'!#REF!)</f>
        <v>#REF!</v>
      </c>
      <c r="AM73" s="609" t="e">
        <f>O73*'Don gia XCSDL DC'!#REF!*50%</f>
        <v>#REF!</v>
      </c>
      <c r="AN73" s="609" t="e">
        <f>T73*'Don gia XCSDL DC'!#REF!*$AN$8</f>
        <v>#REF!</v>
      </c>
      <c r="AO73" s="609" t="e">
        <f>U73*'Don gia XCSDL DC'!#REF!*1</f>
        <v>#REF!</v>
      </c>
      <c r="AP73" s="609" t="e">
        <f>P73*X73*'Don gia XCSDL DC'!#REF!</f>
        <v>#REF!</v>
      </c>
      <c r="AQ73" s="609" t="e">
        <f>Q73*$AQ$8*'Don gia XCSDL DC'!#REF!</f>
        <v>#REF!</v>
      </c>
      <c r="AR73" s="609" t="e">
        <f>M73*$AR$8*'Don gia XCSDL DC'!#REF!</f>
        <v>#REF!</v>
      </c>
      <c r="AS73" s="609" t="e">
        <f>J73*'Don gia XCSDL DC'!#REF!</f>
        <v>#REF!</v>
      </c>
      <c r="AT73" s="609">
        <f>D73*'Don gia XCSDL DC'!$K$26</f>
        <v>0</v>
      </c>
      <c r="AU73" s="609">
        <f>J73*'Don gia XCSDL DC'!$K$34</f>
        <v>0</v>
      </c>
      <c r="AV73" s="609">
        <f>O73*'Don gia XCSDL DC'!$K$37</f>
        <v>0</v>
      </c>
      <c r="AW73" s="610" t="e">
        <f t="shared" si="8"/>
        <v>#REF!</v>
      </c>
      <c r="AX73" s="611" t="e">
        <f t="shared" si="9"/>
        <v>#REF!</v>
      </c>
      <c r="AY73" s="806" t="e">
        <f t="shared" ref="AY73:AY132" si="47">(AX73*100)/AW73</f>
        <v>#REF!</v>
      </c>
      <c r="AZ73" s="612" t="e">
        <f>D73*'Don gia XCSDL DC'!#REF!</f>
        <v>#REF!</v>
      </c>
      <c r="BA73" s="613" t="e">
        <f>(Q73+M73)*'Don gia XCSDL DC'!#REF!</f>
        <v>#REF!</v>
      </c>
    </row>
    <row r="74" spans="1:53" ht="20.25" customHeight="1">
      <c r="A74" s="599"/>
      <c r="B74" s="445">
        <v>2</v>
      </c>
      <c r="C74" s="445" t="s">
        <v>339</v>
      </c>
      <c r="D74" s="600">
        <v>23</v>
      </c>
      <c r="E74" s="601">
        <v>23</v>
      </c>
      <c r="F74" s="601">
        <v>1</v>
      </c>
      <c r="G74" s="602">
        <v>1</v>
      </c>
      <c r="H74" s="601"/>
      <c r="I74" s="630"/>
      <c r="J74" s="639">
        <f>685143*0.8</f>
        <v>548114.4</v>
      </c>
      <c r="K74" s="604">
        <v>324307</v>
      </c>
      <c r="L74" s="604">
        <f>187853/4*5+11000</f>
        <v>245816.25</v>
      </c>
      <c r="M74" s="605">
        <f t="shared" si="39"/>
        <v>191840.04</v>
      </c>
      <c r="N74" s="604">
        <f t="shared" si="40"/>
        <v>356274.36</v>
      </c>
      <c r="O74" s="604">
        <f t="shared" si="41"/>
        <v>302833.20600000001</v>
      </c>
      <c r="P74" s="604">
        <f t="shared" si="42"/>
        <v>293012.60600000003</v>
      </c>
      <c r="Q74" s="604">
        <f t="shared" si="43"/>
        <v>2672.0576999999994</v>
      </c>
      <c r="R74" s="604"/>
      <c r="S74" s="604">
        <f>149852*0.8</f>
        <v>119881.60000000001</v>
      </c>
      <c r="T74" s="604">
        <f t="shared" si="44"/>
        <v>2397.6320000000001</v>
      </c>
      <c r="U74" s="621">
        <f>196412/20-T74</f>
        <v>7422.9680000000008</v>
      </c>
      <c r="V74" s="604">
        <f t="shared" si="45"/>
        <v>110061</v>
      </c>
      <c r="W74" s="604"/>
      <c r="X74" s="607">
        <f t="shared" si="38"/>
        <v>0.49778021985437237</v>
      </c>
      <c r="Y74" s="608">
        <f t="shared" si="46"/>
        <v>1438579.2000000002</v>
      </c>
      <c r="AA74" s="609">
        <f>D74*'Don gia XCSDL DC'!$K$8</f>
        <v>10608.981719655154</v>
      </c>
      <c r="AB74" s="609">
        <f>D74*'Don gia XCSDL DC'!$K$9</f>
        <v>10122.262044655155</v>
      </c>
      <c r="AC74" s="609" t="e">
        <f>D74*'Don gia XCSDL DC'!#REF!</f>
        <v>#REF!</v>
      </c>
      <c r="AD74" s="609">
        <f>D74*'Don gia XCSDL DC'!$K$10</f>
        <v>40759.582338233136</v>
      </c>
      <c r="AE74" s="609">
        <f>J74*'Don gia XCSDL DC'!$K$11</f>
        <v>0</v>
      </c>
      <c r="AF74" s="609" t="e">
        <f>S74*'Don gia XCSDL DC'!#REF!</f>
        <v>#REF!</v>
      </c>
      <c r="AG74" s="609" t="e">
        <f>D74*'Don gia XCSDL DC'!#REF!</f>
        <v>#REF!</v>
      </c>
      <c r="AH74" s="609" t="e">
        <f>J74*'Don gia XCSDL DC'!#REF!</f>
        <v>#REF!</v>
      </c>
      <c r="AI74" s="609" t="e">
        <f>D74*'Don gia XCSDL DC'!#REF!</f>
        <v>#REF!</v>
      </c>
      <c r="AJ74" s="609">
        <f>S74*2*'Don gia XCSDL DC'!$K$24</f>
        <v>2050116325.5049253</v>
      </c>
      <c r="AK74" s="609" t="e">
        <f>S74*3*'Don gia XCSDL DC'!#REF!</f>
        <v>#REF!</v>
      </c>
      <c r="AL74" s="609" t="e">
        <f>(S74*2+S74*3)*('Don gia XCSDL DC'!#REF!+'Don gia XCSDL DC'!#REF!+'Don gia XCSDL DC'!#REF!)</f>
        <v>#REF!</v>
      </c>
      <c r="AM74" s="609" t="e">
        <f>O74*'Don gia XCSDL DC'!#REF!*50%</f>
        <v>#REF!</v>
      </c>
      <c r="AN74" s="609" t="e">
        <f>T74*'Don gia XCSDL DC'!#REF!*$AN$8</f>
        <v>#REF!</v>
      </c>
      <c r="AO74" s="609" t="e">
        <f>U74*'Don gia XCSDL DC'!#REF!*1</f>
        <v>#REF!</v>
      </c>
      <c r="AP74" s="609" t="e">
        <f>P74*X74*'Don gia XCSDL DC'!#REF!</f>
        <v>#REF!</v>
      </c>
      <c r="AQ74" s="609" t="e">
        <f>Q74*$AQ$8*'Don gia XCSDL DC'!#REF!</f>
        <v>#REF!</v>
      </c>
      <c r="AR74" s="609" t="e">
        <f>M74*$AR$8*'Don gia XCSDL DC'!#REF!</f>
        <v>#REF!</v>
      </c>
      <c r="AS74" s="609" t="e">
        <f>J74*'Don gia XCSDL DC'!#REF!</f>
        <v>#REF!</v>
      </c>
      <c r="AT74" s="609">
        <f>D74*'Don gia XCSDL DC'!$K$26</f>
        <v>0</v>
      </c>
      <c r="AU74" s="609">
        <f>J74*'Don gia XCSDL DC'!$K$34</f>
        <v>0</v>
      </c>
      <c r="AV74" s="609">
        <f>O74*'Don gia XCSDL DC'!$K$37</f>
        <v>0</v>
      </c>
      <c r="AW74" s="610" t="e">
        <f t="shared" si="8"/>
        <v>#REF!</v>
      </c>
      <c r="AX74" s="611" t="e">
        <f t="shared" si="9"/>
        <v>#REF!</v>
      </c>
      <c r="AY74" s="806" t="e">
        <f t="shared" si="47"/>
        <v>#REF!</v>
      </c>
      <c r="AZ74" s="612" t="e">
        <f>D74*'Don gia XCSDL DC'!#REF!</f>
        <v>#REF!</v>
      </c>
      <c r="BA74" s="613" t="e">
        <f>(Q74+M74)*'Don gia XCSDL DC'!#REF!</f>
        <v>#REF!</v>
      </c>
    </row>
    <row r="75" spans="1:53" ht="20.25" customHeight="1">
      <c r="A75" s="599"/>
      <c r="B75" s="445">
        <v>3</v>
      </c>
      <c r="C75" s="445" t="s">
        <v>340</v>
      </c>
      <c r="D75" s="600">
        <v>24</v>
      </c>
      <c r="E75" s="601">
        <v>24</v>
      </c>
      <c r="F75" s="601">
        <v>1</v>
      </c>
      <c r="G75" s="602">
        <v>1</v>
      </c>
      <c r="H75" s="601"/>
      <c r="I75" s="601"/>
      <c r="J75" s="604">
        <f>679022.8314*0.8</f>
        <v>543218.26512</v>
      </c>
      <c r="K75" s="604">
        <v>319523</v>
      </c>
      <c r="L75" s="604">
        <f>150726/4*5+10000</f>
        <v>198407.5</v>
      </c>
      <c r="M75" s="605">
        <f t="shared" si="39"/>
        <v>190126.392792</v>
      </c>
      <c r="N75" s="604">
        <f t="shared" si="40"/>
        <v>353091.87232800003</v>
      </c>
      <c r="O75" s="604">
        <f t="shared" si="41"/>
        <v>300128.09147879999</v>
      </c>
      <c r="P75" s="604">
        <f t="shared" si="42"/>
        <v>292200.74147880002</v>
      </c>
      <c r="Q75" s="604">
        <f t="shared" si="43"/>
        <v>2648.1890424600019</v>
      </c>
      <c r="R75" s="604"/>
      <c r="S75" s="604">
        <f>148764*0.8</f>
        <v>119011.20000000001</v>
      </c>
      <c r="T75" s="604">
        <f t="shared" si="44"/>
        <v>2380.2240000000002</v>
      </c>
      <c r="U75" s="621">
        <f>158547/20-T75</f>
        <v>5547.1260000000002</v>
      </c>
      <c r="V75" s="604">
        <f t="shared" si="45"/>
        <v>111083.85</v>
      </c>
      <c r="W75" s="604"/>
      <c r="X75" s="607">
        <f t="shared" si="38"/>
        <v>0.50143529002930487</v>
      </c>
      <c r="Y75" s="608">
        <f t="shared" si="46"/>
        <v>1428134.4000000001</v>
      </c>
      <c r="AA75" s="609">
        <f>D75*'Don gia XCSDL DC'!$K$8</f>
        <v>11070.241794422769</v>
      </c>
      <c r="AB75" s="609">
        <f>D75*'Don gia XCSDL DC'!$K$9</f>
        <v>10562.360394422771</v>
      </c>
      <c r="AC75" s="609" t="e">
        <f>D75*'Don gia XCSDL DC'!#REF!</f>
        <v>#REF!</v>
      </c>
      <c r="AD75" s="609">
        <f>D75*'Don gia XCSDL DC'!$K$10</f>
        <v>42531.738092069361</v>
      </c>
      <c r="AE75" s="609">
        <f>J75*'Don gia XCSDL DC'!$K$11</f>
        <v>0</v>
      </c>
      <c r="AF75" s="609" t="e">
        <f>S75*'Don gia XCSDL DC'!#REF!</f>
        <v>#REF!</v>
      </c>
      <c r="AG75" s="609" t="e">
        <f>D75*'Don gia XCSDL DC'!#REF!</f>
        <v>#REF!</v>
      </c>
      <c r="AH75" s="609" t="e">
        <f>J75*'Don gia XCSDL DC'!#REF!</f>
        <v>#REF!</v>
      </c>
      <c r="AI75" s="609" t="e">
        <f>D75*'Don gia XCSDL DC'!#REF!</f>
        <v>#REF!</v>
      </c>
      <c r="AJ75" s="609">
        <f>S75*2*'Don gia XCSDL DC'!$K$24</f>
        <v>2035231462.0252964</v>
      </c>
      <c r="AK75" s="609" t="e">
        <f>S75*3*'Don gia XCSDL DC'!#REF!</f>
        <v>#REF!</v>
      </c>
      <c r="AL75" s="609" t="e">
        <f>(S75*2+S75*3)*('Don gia XCSDL DC'!#REF!+'Don gia XCSDL DC'!#REF!+'Don gia XCSDL DC'!#REF!)</f>
        <v>#REF!</v>
      </c>
      <c r="AM75" s="609" t="e">
        <f>O75*'Don gia XCSDL DC'!#REF!*50%</f>
        <v>#REF!</v>
      </c>
      <c r="AN75" s="609" t="e">
        <f>T75*'Don gia XCSDL DC'!#REF!*$AN$8</f>
        <v>#REF!</v>
      </c>
      <c r="AO75" s="609" t="e">
        <f>U75*'Don gia XCSDL DC'!#REF!*1</f>
        <v>#REF!</v>
      </c>
      <c r="AP75" s="609" t="e">
        <f>P75*X75*'Don gia XCSDL DC'!#REF!</f>
        <v>#REF!</v>
      </c>
      <c r="AQ75" s="609" t="e">
        <f>Q75*$AQ$8*'Don gia XCSDL DC'!#REF!</f>
        <v>#REF!</v>
      </c>
      <c r="AR75" s="609" t="e">
        <f>M75*$AR$8*'Don gia XCSDL DC'!#REF!</f>
        <v>#REF!</v>
      </c>
      <c r="AS75" s="609" t="e">
        <f>J75*'Don gia XCSDL DC'!#REF!</f>
        <v>#REF!</v>
      </c>
      <c r="AT75" s="609">
        <f>D75*'Don gia XCSDL DC'!$K$26</f>
        <v>0</v>
      </c>
      <c r="AU75" s="609">
        <f>J75*'Don gia XCSDL DC'!$K$34</f>
        <v>0</v>
      </c>
      <c r="AV75" s="609">
        <f>O75*'Don gia XCSDL DC'!$K$37</f>
        <v>0</v>
      </c>
      <c r="AW75" s="610" t="e">
        <f t="shared" si="8"/>
        <v>#REF!</v>
      </c>
      <c r="AX75" s="611" t="e">
        <f t="shared" si="9"/>
        <v>#REF!</v>
      </c>
      <c r="AY75" s="806" t="e">
        <f t="shared" si="47"/>
        <v>#REF!</v>
      </c>
      <c r="AZ75" s="612" t="e">
        <f>D75*'Don gia XCSDL DC'!#REF!</f>
        <v>#REF!</v>
      </c>
      <c r="BA75" s="613" t="e">
        <f>(Q75+M75)*'Don gia XCSDL DC'!#REF!</f>
        <v>#REF!</v>
      </c>
    </row>
    <row r="76" spans="1:53" ht="20.25" customHeight="1">
      <c r="A76" s="599"/>
      <c r="B76" s="445">
        <v>4</v>
      </c>
      <c r="C76" s="445" t="s">
        <v>341</v>
      </c>
      <c r="D76" s="600">
        <v>21</v>
      </c>
      <c r="E76" s="629">
        <v>25</v>
      </c>
      <c r="F76" s="601">
        <v>1</v>
      </c>
      <c r="G76" s="602">
        <v>1</v>
      </c>
      <c r="H76" s="601"/>
      <c r="I76" s="601"/>
      <c r="J76" s="604">
        <f>486363.2908*0.8</f>
        <v>389090.63264000003</v>
      </c>
      <c r="K76" s="604">
        <v>227338</v>
      </c>
      <c r="L76" s="604">
        <f>149891/4*5+13000</f>
        <v>200363.75</v>
      </c>
      <c r="M76" s="605">
        <f t="shared" si="39"/>
        <v>136181.72142399999</v>
      </c>
      <c r="N76" s="604">
        <f t="shared" si="40"/>
        <v>252908.91121600004</v>
      </c>
      <c r="O76" s="604">
        <f t="shared" si="41"/>
        <v>214972.57453360004</v>
      </c>
      <c r="P76" s="604">
        <f t="shared" si="42"/>
        <v>206927.52453360005</v>
      </c>
      <c r="Q76" s="604">
        <f t="shared" si="43"/>
        <v>1896.8168341199998</v>
      </c>
      <c r="R76" s="604"/>
      <c r="S76" s="604">
        <f>106069*0.8</f>
        <v>84855.200000000012</v>
      </c>
      <c r="T76" s="604">
        <f t="shared" si="44"/>
        <v>1697.1040000000003</v>
      </c>
      <c r="U76" s="621">
        <f>160901/20-T76</f>
        <v>6347.9459999999999</v>
      </c>
      <c r="V76" s="604">
        <f t="shared" si="45"/>
        <v>76810.150000000009</v>
      </c>
      <c r="W76" s="604"/>
      <c r="X76" s="607">
        <f t="shared" si="38"/>
        <v>0.49422085061840426</v>
      </c>
      <c r="Y76" s="608">
        <f t="shared" si="46"/>
        <v>1018262.4000000001</v>
      </c>
      <c r="AA76" s="609">
        <f>D76*'Don gia XCSDL DC'!$K$8</f>
        <v>9686.4615701199236</v>
      </c>
      <c r="AB76" s="609">
        <f>D76*'Don gia XCSDL DC'!$K$9</f>
        <v>9242.065345119925</v>
      </c>
      <c r="AC76" s="609" t="e">
        <f>D76*'Don gia XCSDL DC'!#REF!</f>
        <v>#REF!</v>
      </c>
      <c r="AD76" s="609">
        <f>D76*'Don gia XCSDL DC'!$K$10</f>
        <v>37215.270830560687</v>
      </c>
      <c r="AE76" s="609">
        <f>J76*'Don gia XCSDL DC'!$K$11</f>
        <v>0</v>
      </c>
      <c r="AF76" s="609" t="e">
        <f>S76*'Don gia XCSDL DC'!#REF!</f>
        <v>#REF!</v>
      </c>
      <c r="AG76" s="609" t="e">
        <f>D76*'Don gia XCSDL DC'!#REF!</f>
        <v>#REF!</v>
      </c>
      <c r="AH76" s="609" t="e">
        <f>J76*'Don gia XCSDL DC'!#REF!</f>
        <v>#REF!</v>
      </c>
      <c r="AI76" s="609" t="e">
        <f>D76*'Don gia XCSDL DC'!#REF!</f>
        <v>#REF!</v>
      </c>
      <c r="AJ76" s="609">
        <f>S76*2*'Don gia XCSDL DC'!$K$24</f>
        <v>1451123698.9161434</v>
      </c>
      <c r="AK76" s="609" t="e">
        <f>S76*3*'Don gia XCSDL DC'!#REF!</f>
        <v>#REF!</v>
      </c>
      <c r="AL76" s="609" t="e">
        <f>(S76*2+S76*3)*('Don gia XCSDL DC'!#REF!+'Don gia XCSDL DC'!#REF!+'Don gia XCSDL DC'!#REF!)</f>
        <v>#REF!</v>
      </c>
      <c r="AM76" s="609" t="e">
        <f>O76*'Don gia XCSDL DC'!#REF!*50%</f>
        <v>#REF!</v>
      </c>
      <c r="AN76" s="609" t="e">
        <f>T76*'Don gia XCSDL DC'!#REF!*$AN$8</f>
        <v>#REF!</v>
      </c>
      <c r="AO76" s="609" t="e">
        <f>U76*'Don gia XCSDL DC'!#REF!*1</f>
        <v>#REF!</v>
      </c>
      <c r="AP76" s="609" t="e">
        <f>P76*X76*'Don gia XCSDL DC'!#REF!</f>
        <v>#REF!</v>
      </c>
      <c r="AQ76" s="609" t="e">
        <f>Q76*$AQ$8*'Don gia XCSDL DC'!#REF!</f>
        <v>#REF!</v>
      </c>
      <c r="AR76" s="609" t="e">
        <f>M76*$AR$8*'Don gia XCSDL DC'!#REF!</f>
        <v>#REF!</v>
      </c>
      <c r="AS76" s="609" t="e">
        <f>J76*'Don gia XCSDL DC'!#REF!</f>
        <v>#REF!</v>
      </c>
      <c r="AT76" s="609">
        <f>D76*'Don gia XCSDL DC'!$K$26</f>
        <v>0</v>
      </c>
      <c r="AU76" s="609">
        <f>J76*'Don gia XCSDL DC'!$K$34</f>
        <v>0</v>
      </c>
      <c r="AV76" s="609">
        <f>O76*'Don gia XCSDL DC'!$K$37</f>
        <v>0</v>
      </c>
      <c r="AW76" s="610" t="e">
        <f t="shared" si="8"/>
        <v>#REF!</v>
      </c>
      <c r="AX76" s="611" t="e">
        <f t="shared" si="9"/>
        <v>#REF!</v>
      </c>
      <c r="AY76" s="806" t="e">
        <f t="shared" si="47"/>
        <v>#REF!</v>
      </c>
      <c r="AZ76" s="612" t="e">
        <f>D76*'Don gia XCSDL DC'!#REF!</f>
        <v>#REF!</v>
      </c>
      <c r="BA76" s="613" t="e">
        <f>(Q76+M76)*'Don gia XCSDL DC'!#REF!</f>
        <v>#REF!</v>
      </c>
    </row>
    <row r="77" spans="1:53" ht="20.25" customHeight="1">
      <c r="A77" s="599"/>
      <c r="B77" s="445">
        <v>5</v>
      </c>
      <c r="C77" s="445" t="s">
        <v>342</v>
      </c>
      <c r="D77" s="600">
        <v>21</v>
      </c>
      <c r="E77" s="601">
        <v>21</v>
      </c>
      <c r="F77" s="601">
        <v>1</v>
      </c>
      <c r="G77" s="602">
        <v>1</v>
      </c>
      <c r="H77" s="601"/>
      <c r="I77" s="601"/>
      <c r="J77" s="604">
        <f>316644.9144*0.8</f>
        <v>253315.93152000001</v>
      </c>
      <c r="K77" s="604"/>
      <c r="L77" s="604">
        <f>145208/4*5+17000</f>
        <v>198510</v>
      </c>
      <c r="M77" s="605">
        <f t="shared" si="39"/>
        <v>88660.576031999997</v>
      </c>
      <c r="N77" s="604">
        <f t="shared" si="40"/>
        <v>164655.35548800003</v>
      </c>
      <c r="O77" s="604">
        <f t="shared" si="41"/>
        <v>139957.05216480003</v>
      </c>
      <c r="P77" s="604">
        <f t="shared" si="42"/>
        <v>135321.95216480002</v>
      </c>
      <c r="Q77" s="604">
        <f t="shared" si="43"/>
        <v>1234.9151661600001</v>
      </c>
      <c r="R77" s="604"/>
      <c r="S77" s="604">
        <f>69173*0.8</f>
        <v>55338.400000000001</v>
      </c>
      <c r="T77" s="604">
        <f t="shared" si="44"/>
        <v>1106.768</v>
      </c>
      <c r="U77" s="621">
        <f>92702/20-T77</f>
        <v>3528.3320000000003</v>
      </c>
      <c r="V77" s="604">
        <f t="shared" si="45"/>
        <v>50703.299999999996</v>
      </c>
      <c r="W77" s="604"/>
      <c r="X77" s="607">
        <f t="shared" si="38"/>
        <v>0.49703039435703789</v>
      </c>
      <c r="Y77" s="608">
        <f t="shared" si="46"/>
        <v>664060.80000000005</v>
      </c>
      <c r="AA77" s="609">
        <f>D77*'Don gia XCSDL DC'!$K$8</f>
        <v>9686.4615701199236</v>
      </c>
      <c r="AB77" s="609">
        <f>D77*'Don gia XCSDL DC'!$K$9</f>
        <v>9242.065345119925</v>
      </c>
      <c r="AC77" s="609" t="e">
        <f>D77*'Don gia XCSDL DC'!#REF!</f>
        <v>#REF!</v>
      </c>
      <c r="AD77" s="609">
        <f>D77*'Don gia XCSDL DC'!$K$10</f>
        <v>37215.270830560687</v>
      </c>
      <c r="AE77" s="609">
        <f>J77*'Don gia XCSDL DC'!$K$11</f>
        <v>0</v>
      </c>
      <c r="AF77" s="609" t="e">
        <f>S77*'Don gia XCSDL DC'!#REF!</f>
        <v>#REF!</v>
      </c>
      <c r="AG77" s="609" t="e">
        <f>D77*'Don gia XCSDL DC'!#REF!</f>
        <v>#REF!</v>
      </c>
      <c r="AH77" s="609" t="e">
        <f>J77*'Don gia XCSDL DC'!#REF!</f>
        <v>#REF!</v>
      </c>
      <c r="AI77" s="609" t="e">
        <f>D77*'Don gia XCSDL DC'!#REF!</f>
        <v>#REF!</v>
      </c>
      <c r="AJ77" s="609">
        <f>S77*2*'Don gia XCSDL DC'!$K$24</f>
        <v>946351710.91578484</v>
      </c>
      <c r="AK77" s="609" t="e">
        <f>S77*3*'Don gia XCSDL DC'!#REF!</f>
        <v>#REF!</v>
      </c>
      <c r="AL77" s="609" t="e">
        <f>(S77*2+S77*3)*('Don gia XCSDL DC'!#REF!+'Don gia XCSDL DC'!#REF!+'Don gia XCSDL DC'!#REF!)</f>
        <v>#REF!</v>
      </c>
      <c r="AM77" s="609" t="e">
        <f>O77*'Don gia XCSDL DC'!#REF!*50%</f>
        <v>#REF!</v>
      </c>
      <c r="AN77" s="609" t="e">
        <f>T77*'Don gia XCSDL DC'!#REF!*$AN$8</f>
        <v>#REF!</v>
      </c>
      <c r="AO77" s="609" t="e">
        <f>U77*'Don gia XCSDL DC'!#REF!*1</f>
        <v>#REF!</v>
      </c>
      <c r="AP77" s="609" t="e">
        <f>P77*X77*'Don gia XCSDL DC'!#REF!</f>
        <v>#REF!</v>
      </c>
      <c r="AQ77" s="609" t="e">
        <f>Q77*$AQ$8*'Don gia XCSDL DC'!#REF!</f>
        <v>#REF!</v>
      </c>
      <c r="AR77" s="609" t="e">
        <f>M77*$AR$8*'Don gia XCSDL DC'!#REF!</f>
        <v>#REF!</v>
      </c>
      <c r="AS77" s="609" t="e">
        <f>J77*'Don gia XCSDL DC'!#REF!</f>
        <v>#REF!</v>
      </c>
      <c r="AT77" s="609">
        <f>D77*'Don gia XCSDL DC'!$K$26</f>
        <v>0</v>
      </c>
      <c r="AU77" s="609">
        <f>J77*'Don gia XCSDL DC'!$K$34</f>
        <v>0</v>
      </c>
      <c r="AV77" s="609">
        <f>O77*'Don gia XCSDL DC'!$K$37</f>
        <v>0</v>
      </c>
      <c r="AW77" s="610" t="e">
        <f t="shared" si="8"/>
        <v>#REF!</v>
      </c>
      <c r="AX77" s="611" t="e">
        <f t="shared" si="9"/>
        <v>#REF!</v>
      </c>
      <c r="AY77" s="806" t="e">
        <f t="shared" si="47"/>
        <v>#REF!</v>
      </c>
      <c r="AZ77" s="612" t="e">
        <f>D77*'Don gia XCSDL DC'!#REF!</f>
        <v>#REF!</v>
      </c>
      <c r="BA77" s="613" t="e">
        <f>(Q77+M77)*'Don gia XCSDL DC'!#REF!</f>
        <v>#REF!</v>
      </c>
    </row>
    <row r="78" spans="1:53" ht="20.25" customHeight="1">
      <c r="A78" s="599"/>
      <c r="B78" s="445">
        <v>6</v>
      </c>
      <c r="C78" s="445" t="s">
        <v>343</v>
      </c>
      <c r="D78" s="600">
        <v>27</v>
      </c>
      <c r="E78" s="601">
        <v>27</v>
      </c>
      <c r="F78" s="601">
        <v>1</v>
      </c>
      <c r="G78" s="602">
        <v>1</v>
      </c>
      <c r="H78" s="601"/>
      <c r="I78" s="601"/>
      <c r="J78" s="604">
        <f>487388.2*0.8</f>
        <v>389910.56000000006</v>
      </c>
      <c r="K78" s="604"/>
      <c r="L78" s="604">
        <f>198358/4*5+13000</f>
        <v>260947.5</v>
      </c>
      <c r="M78" s="605">
        <f t="shared" si="39"/>
        <v>136468.69600000003</v>
      </c>
      <c r="N78" s="604">
        <f t="shared" si="40"/>
        <v>253441.86400000003</v>
      </c>
      <c r="O78" s="604">
        <f t="shared" si="41"/>
        <v>215425.58440000002</v>
      </c>
      <c r="P78" s="604">
        <f t="shared" si="42"/>
        <v>205507.68440000003</v>
      </c>
      <c r="Q78" s="604">
        <f t="shared" si="43"/>
        <v>1900.8139800000006</v>
      </c>
      <c r="R78" s="604"/>
      <c r="S78" s="604">
        <f>105012*0.8</f>
        <v>84009.600000000006</v>
      </c>
      <c r="T78" s="604">
        <f t="shared" si="44"/>
        <v>1680.1920000000002</v>
      </c>
      <c r="U78" s="621">
        <f>198358/20-T78</f>
        <v>8237.7079999999987</v>
      </c>
      <c r="V78" s="604">
        <f t="shared" si="45"/>
        <v>74091.700000000012</v>
      </c>
      <c r="W78" s="604"/>
      <c r="X78" s="607">
        <f t="shared" si="38"/>
        <v>0.48564375257387027</v>
      </c>
      <c r="Y78" s="608">
        <f t="shared" si="46"/>
        <v>1008115.2000000001</v>
      </c>
      <c r="AA78" s="609">
        <f>D78*'Don gia XCSDL DC'!$K$8</f>
        <v>12454.022018725615</v>
      </c>
      <c r="AB78" s="609">
        <f>D78*'Don gia XCSDL DC'!$K$9</f>
        <v>11882.655443725616</v>
      </c>
      <c r="AC78" s="609" t="e">
        <f>D78*'Don gia XCSDL DC'!#REF!</f>
        <v>#REF!</v>
      </c>
      <c r="AD78" s="609">
        <f>D78*'Don gia XCSDL DC'!$K$10</f>
        <v>47848.205353578029</v>
      </c>
      <c r="AE78" s="609">
        <f>J78*'Don gia XCSDL DC'!$K$11</f>
        <v>0</v>
      </c>
      <c r="AF78" s="609" t="e">
        <f>S78*'Don gia XCSDL DC'!#REF!</f>
        <v>#REF!</v>
      </c>
      <c r="AG78" s="609" t="e">
        <f>D78*'Don gia XCSDL DC'!#REF!</f>
        <v>#REF!</v>
      </c>
      <c r="AH78" s="609" t="e">
        <f>J78*'Don gia XCSDL DC'!#REF!</f>
        <v>#REF!</v>
      </c>
      <c r="AI78" s="609" t="e">
        <f>D78*'Don gia XCSDL DC'!#REF!</f>
        <v>#REF!</v>
      </c>
      <c r="AJ78" s="609">
        <f>S78*2*'Don gia XCSDL DC'!$K$24</f>
        <v>1436662944.5981584</v>
      </c>
      <c r="AK78" s="609" t="e">
        <f>S78*3*'Don gia XCSDL DC'!#REF!</f>
        <v>#REF!</v>
      </c>
      <c r="AL78" s="609" t="e">
        <f>(S78*2+S78*3)*('Don gia XCSDL DC'!#REF!+'Don gia XCSDL DC'!#REF!+'Don gia XCSDL DC'!#REF!)</f>
        <v>#REF!</v>
      </c>
      <c r="AM78" s="609" t="e">
        <f>O78*'Don gia XCSDL DC'!#REF!*50%</f>
        <v>#REF!</v>
      </c>
      <c r="AN78" s="609" t="e">
        <f>T78*'Don gia XCSDL DC'!#REF!*$AN$8</f>
        <v>#REF!</v>
      </c>
      <c r="AO78" s="609" t="e">
        <f>U78*'Don gia XCSDL DC'!#REF!*1</f>
        <v>#REF!</v>
      </c>
      <c r="AP78" s="609" t="e">
        <f>P78*X78*'Don gia XCSDL DC'!#REF!</f>
        <v>#REF!</v>
      </c>
      <c r="AQ78" s="609" t="e">
        <f>Q78*$AQ$8*'Don gia XCSDL DC'!#REF!</f>
        <v>#REF!</v>
      </c>
      <c r="AR78" s="609" t="e">
        <f>M78*$AR$8*'Don gia XCSDL DC'!#REF!</f>
        <v>#REF!</v>
      </c>
      <c r="AS78" s="609" t="e">
        <f>J78*'Don gia XCSDL DC'!#REF!</f>
        <v>#REF!</v>
      </c>
      <c r="AT78" s="609">
        <f>D78*'Don gia XCSDL DC'!$K$26</f>
        <v>0</v>
      </c>
      <c r="AU78" s="609">
        <f>J78*'Don gia XCSDL DC'!$K$34</f>
        <v>0</v>
      </c>
      <c r="AV78" s="609">
        <f>O78*'Don gia XCSDL DC'!$K$37</f>
        <v>0</v>
      </c>
      <c r="AW78" s="610" t="e">
        <f t="shared" si="8"/>
        <v>#REF!</v>
      </c>
      <c r="AX78" s="611" t="e">
        <f t="shared" si="9"/>
        <v>#REF!</v>
      </c>
      <c r="AY78" s="806" t="e">
        <f t="shared" si="47"/>
        <v>#REF!</v>
      </c>
      <c r="AZ78" s="612" t="e">
        <f>D78*'Don gia XCSDL DC'!#REF!</f>
        <v>#REF!</v>
      </c>
      <c r="BA78" s="613" t="e">
        <f>(Q78+M78)*'Don gia XCSDL DC'!#REF!</f>
        <v>#REF!</v>
      </c>
    </row>
    <row r="79" spans="1:53" s="723" customFormat="1" ht="20.25" customHeight="1">
      <c r="A79" s="712"/>
      <c r="B79" s="713"/>
      <c r="C79" s="713" t="s">
        <v>344</v>
      </c>
      <c r="D79" s="714">
        <v>16</v>
      </c>
      <c r="E79" s="715">
        <v>16</v>
      </c>
      <c r="F79" s="715"/>
      <c r="G79" s="715">
        <v>1</v>
      </c>
      <c r="H79" s="715"/>
      <c r="I79" s="715"/>
      <c r="J79" s="718">
        <v>102382.3832</v>
      </c>
      <c r="K79" s="716"/>
      <c r="L79" s="734">
        <v>187129</v>
      </c>
      <c r="M79" s="719"/>
      <c r="N79" s="718"/>
      <c r="O79" s="718"/>
      <c r="P79" s="718"/>
      <c r="Q79" s="718"/>
      <c r="R79" s="718"/>
      <c r="S79" s="718"/>
      <c r="T79" s="718"/>
      <c r="U79" s="730"/>
      <c r="V79" s="718"/>
      <c r="W79" s="718"/>
      <c r="X79" s="721"/>
      <c r="Y79" s="722"/>
      <c r="AA79" s="609"/>
      <c r="AB79" s="609"/>
      <c r="AC79" s="609"/>
      <c r="AD79" s="724"/>
      <c r="AE79" s="724"/>
      <c r="AF79" s="724"/>
      <c r="AG79" s="724"/>
      <c r="AH79" s="724"/>
      <c r="AI79" s="724"/>
      <c r="AJ79" s="724"/>
      <c r="AK79" s="724"/>
      <c r="AL79" s="724"/>
      <c r="AM79" s="724"/>
      <c r="AN79" s="724"/>
      <c r="AO79" s="724"/>
      <c r="AP79" s="724"/>
      <c r="AQ79" s="724"/>
      <c r="AR79" s="724"/>
      <c r="AS79" s="724"/>
      <c r="AT79" s="724"/>
      <c r="AU79" s="724"/>
      <c r="AV79" s="609"/>
      <c r="AW79" s="610"/>
      <c r="AX79" s="611"/>
      <c r="AY79" s="807"/>
      <c r="AZ79" s="612"/>
      <c r="BA79" s="613"/>
    </row>
    <row r="80" spans="1:53" s="723" customFormat="1" ht="20.25" customHeight="1">
      <c r="A80" s="712"/>
      <c r="B80" s="713"/>
      <c r="C80" s="713" t="s">
        <v>345</v>
      </c>
      <c r="D80" s="714">
        <v>26</v>
      </c>
      <c r="E80" s="715">
        <v>26</v>
      </c>
      <c r="F80" s="715"/>
      <c r="G80" s="715">
        <v>1</v>
      </c>
      <c r="H80" s="715"/>
      <c r="I80" s="715"/>
      <c r="J80" s="718">
        <v>396492.723</v>
      </c>
      <c r="K80" s="716"/>
      <c r="L80" s="734">
        <v>536933</v>
      </c>
      <c r="M80" s="719"/>
      <c r="N80" s="718"/>
      <c r="O80" s="718"/>
      <c r="P80" s="718"/>
      <c r="Q80" s="718"/>
      <c r="R80" s="718"/>
      <c r="S80" s="718"/>
      <c r="T80" s="718"/>
      <c r="U80" s="730"/>
      <c r="V80" s="718"/>
      <c r="W80" s="718"/>
      <c r="X80" s="721"/>
      <c r="Y80" s="722"/>
      <c r="AA80" s="609"/>
      <c r="AB80" s="609"/>
      <c r="AC80" s="609"/>
      <c r="AD80" s="724"/>
      <c r="AE80" s="724"/>
      <c r="AF80" s="724"/>
      <c r="AG80" s="724"/>
      <c r="AH80" s="724"/>
      <c r="AI80" s="724"/>
      <c r="AJ80" s="724"/>
      <c r="AK80" s="724"/>
      <c r="AL80" s="724"/>
      <c r="AM80" s="724"/>
      <c r="AN80" s="724"/>
      <c r="AO80" s="724"/>
      <c r="AP80" s="724"/>
      <c r="AQ80" s="724"/>
      <c r="AR80" s="724"/>
      <c r="AS80" s="724"/>
      <c r="AT80" s="724"/>
      <c r="AU80" s="724"/>
      <c r="AV80" s="609"/>
      <c r="AW80" s="610"/>
      <c r="AX80" s="611"/>
      <c r="AY80" s="807"/>
      <c r="AZ80" s="612"/>
      <c r="BA80" s="613"/>
    </row>
    <row r="81" spans="1:53" s="723" customFormat="1" ht="20.25" customHeight="1">
      <c r="A81" s="712"/>
      <c r="B81" s="713"/>
      <c r="C81" s="713"/>
      <c r="D81" s="714"/>
      <c r="E81" s="715"/>
      <c r="F81" s="715"/>
      <c r="G81" s="733"/>
      <c r="H81" s="715"/>
      <c r="I81" s="715"/>
      <c r="J81" s="718"/>
      <c r="K81" s="716"/>
      <c r="L81" s="734"/>
      <c r="M81" s="719"/>
      <c r="N81" s="718"/>
      <c r="O81" s="718"/>
      <c r="P81" s="718"/>
      <c r="Q81" s="718"/>
      <c r="R81" s="718"/>
      <c r="S81" s="718"/>
      <c r="T81" s="718"/>
      <c r="U81" s="730"/>
      <c r="V81" s="718"/>
      <c r="W81" s="718"/>
      <c r="X81" s="721"/>
      <c r="Y81" s="722"/>
      <c r="AA81" s="609"/>
      <c r="AB81" s="609"/>
      <c r="AC81" s="609"/>
      <c r="AD81" s="724"/>
      <c r="AE81" s="724"/>
      <c r="AF81" s="724"/>
      <c r="AG81" s="724"/>
      <c r="AH81" s="724"/>
      <c r="AI81" s="724"/>
      <c r="AJ81" s="724"/>
      <c r="AK81" s="724"/>
      <c r="AL81" s="724"/>
      <c r="AM81" s="724"/>
      <c r="AN81" s="724"/>
      <c r="AO81" s="724"/>
      <c r="AP81" s="724"/>
      <c r="AQ81" s="724"/>
      <c r="AR81" s="724"/>
      <c r="AS81" s="724"/>
      <c r="AT81" s="724"/>
      <c r="AU81" s="724"/>
      <c r="AV81" s="609"/>
      <c r="AW81" s="610"/>
      <c r="AX81" s="611"/>
      <c r="AY81" s="807"/>
      <c r="AZ81" s="612"/>
      <c r="BA81" s="613"/>
    </row>
    <row r="82" spans="1:53" s="723" customFormat="1" ht="20.25" customHeight="1">
      <c r="A82" s="712"/>
      <c r="B82" s="713"/>
      <c r="C82" s="713"/>
      <c r="D82" s="714"/>
      <c r="E82" s="715"/>
      <c r="F82" s="715"/>
      <c r="G82" s="733"/>
      <c r="H82" s="715"/>
      <c r="I82" s="715"/>
      <c r="J82" s="718"/>
      <c r="K82" s="716"/>
      <c r="L82" s="734"/>
      <c r="M82" s="719"/>
      <c r="N82" s="718"/>
      <c r="O82" s="718"/>
      <c r="P82" s="718"/>
      <c r="Q82" s="718"/>
      <c r="R82" s="718"/>
      <c r="S82" s="718"/>
      <c r="T82" s="718"/>
      <c r="U82" s="730"/>
      <c r="V82" s="718"/>
      <c r="W82" s="718"/>
      <c r="X82" s="721"/>
      <c r="Y82" s="722"/>
      <c r="AA82" s="609"/>
      <c r="AB82" s="609"/>
      <c r="AC82" s="609"/>
      <c r="AD82" s="724"/>
      <c r="AE82" s="724"/>
      <c r="AF82" s="724"/>
      <c r="AG82" s="724"/>
      <c r="AH82" s="724"/>
      <c r="AI82" s="724"/>
      <c r="AJ82" s="724"/>
      <c r="AK82" s="724"/>
      <c r="AL82" s="724"/>
      <c r="AM82" s="724"/>
      <c r="AN82" s="724"/>
      <c r="AO82" s="724"/>
      <c r="AP82" s="724"/>
      <c r="AQ82" s="724"/>
      <c r="AR82" s="724"/>
      <c r="AS82" s="724"/>
      <c r="AT82" s="724"/>
      <c r="AU82" s="724"/>
      <c r="AV82" s="609"/>
      <c r="AW82" s="610"/>
      <c r="AX82" s="611"/>
      <c r="AY82" s="807"/>
      <c r="AZ82" s="612"/>
      <c r="BA82" s="613"/>
    </row>
    <row r="83" spans="1:53" s="598" customFormat="1" ht="20.25" customHeight="1">
      <c r="A83" s="589">
        <v>9</v>
      </c>
      <c r="B83" s="1945" t="s">
        <v>346</v>
      </c>
      <c r="C83" s="1945"/>
      <c r="D83" s="594"/>
      <c r="E83" s="595">
        <f>SUM(E84:E87)</f>
        <v>72</v>
      </c>
      <c r="F83" s="595">
        <v>4</v>
      </c>
      <c r="G83" s="596">
        <f>SUM(G84:G91)</f>
        <v>8</v>
      </c>
      <c r="H83" s="595">
        <v>8</v>
      </c>
      <c r="I83" s="595"/>
      <c r="J83" s="595">
        <f t="shared" ref="J83:Q83" si="48">SUM(J84:J87)</f>
        <v>608810</v>
      </c>
      <c r="K83" s="595">
        <f t="shared" si="48"/>
        <v>619658</v>
      </c>
      <c r="L83" s="595">
        <f t="shared" si="48"/>
        <v>619658</v>
      </c>
      <c r="M83" s="595">
        <f t="shared" si="48"/>
        <v>60881.000000000007</v>
      </c>
      <c r="N83" s="595">
        <f t="shared" si="48"/>
        <v>547929</v>
      </c>
      <c r="O83" s="595">
        <f t="shared" si="48"/>
        <v>507930.18300000002</v>
      </c>
      <c r="P83" s="595">
        <f t="shared" si="48"/>
        <v>365069.93300000008</v>
      </c>
      <c r="Q83" s="595">
        <f t="shared" si="48"/>
        <v>39998.816999999981</v>
      </c>
      <c r="R83" s="595"/>
      <c r="S83" s="595">
        <f>SUM(S84:S87)</f>
        <v>243209</v>
      </c>
      <c r="T83" s="595">
        <f>SUM(T84:T87)</f>
        <v>23221.600000000002</v>
      </c>
      <c r="U83" s="595">
        <f>SUM(U84:U87)</f>
        <v>119638.65</v>
      </c>
      <c r="V83" s="595">
        <f>SUM(V84:V87)</f>
        <v>73536.150000000009</v>
      </c>
      <c r="W83" s="597">
        <v>0.92700000000000005</v>
      </c>
      <c r="X83" s="607">
        <f t="shared" si="38"/>
        <v>0.35767220636338587</v>
      </c>
      <c r="Y83" s="595">
        <f>SUM(Y84:Y87)</f>
        <v>2918508</v>
      </c>
      <c r="AA83" s="609"/>
      <c r="AB83" s="609"/>
      <c r="AC83" s="609"/>
      <c r="AD83" s="609"/>
      <c r="AE83" s="609"/>
      <c r="AF83" s="609"/>
      <c r="AG83" s="609"/>
      <c r="AH83" s="609"/>
      <c r="AI83" s="609"/>
      <c r="AJ83" s="609"/>
      <c r="AK83" s="609"/>
      <c r="AL83" s="609"/>
      <c r="AM83" s="609"/>
      <c r="AN83" s="609"/>
      <c r="AO83" s="609"/>
      <c r="AP83" s="609"/>
      <c r="AQ83" s="609"/>
      <c r="AR83" s="609"/>
      <c r="AS83" s="609"/>
      <c r="AT83" s="609"/>
      <c r="AU83" s="609"/>
      <c r="AV83" s="609"/>
      <c r="AW83" s="610"/>
      <c r="AX83" s="611"/>
      <c r="AY83" s="806"/>
      <c r="AZ83" s="612"/>
      <c r="BA83" s="613"/>
    </row>
    <row r="84" spans="1:53" ht="20.25" customHeight="1">
      <c r="A84" s="599"/>
      <c r="B84" s="445">
        <v>1</v>
      </c>
      <c r="C84" s="445" t="s">
        <v>347</v>
      </c>
      <c r="D84" s="600">
        <v>19</v>
      </c>
      <c r="E84" s="558">
        <v>19</v>
      </c>
      <c r="F84" s="558">
        <v>1</v>
      </c>
      <c r="G84" s="640">
        <v>1</v>
      </c>
      <c r="H84" s="601"/>
      <c r="I84" s="601"/>
      <c r="J84" s="621">
        <v>140145</v>
      </c>
      <c r="K84" s="604">
        <v>140145</v>
      </c>
      <c r="L84" s="604">
        <v>140145</v>
      </c>
      <c r="M84" s="605">
        <f>J84*10%</f>
        <v>14014.5</v>
      </c>
      <c r="N84" s="604">
        <f>J84-M84</f>
        <v>126130.5</v>
      </c>
      <c r="O84" s="604">
        <f>N84*$W$83</f>
        <v>116922.97350000001</v>
      </c>
      <c r="P84" s="604">
        <f>O84-T84-U84</f>
        <v>75846.223500000007</v>
      </c>
      <c r="Q84" s="604">
        <f>N84-O84</f>
        <v>9207.5264999999927</v>
      </c>
      <c r="R84" s="604"/>
      <c r="S84" s="604">
        <v>73741</v>
      </c>
      <c r="T84" s="604">
        <f>S84*0.2</f>
        <v>14748.2</v>
      </c>
      <c r="U84" s="621">
        <f>164307/4-T84</f>
        <v>26328.55</v>
      </c>
      <c r="V84" s="621">
        <f>160901/5-U84</f>
        <v>5851.6500000000015</v>
      </c>
      <c r="W84" s="604"/>
      <c r="X84" s="607">
        <f t="shared" si="38"/>
        <v>0.25770881614680924</v>
      </c>
      <c r="Y84" s="608">
        <f>S84*12</f>
        <v>884892</v>
      </c>
      <c r="AA84" s="609">
        <f>D84*'Don gia XCSDL DC'!$K$8</f>
        <v>8763.9414205846915</v>
      </c>
      <c r="AB84" s="609">
        <f>D84*'Don gia XCSDL DC'!$K$9</f>
        <v>8361.8686455846928</v>
      </c>
      <c r="AC84" s="609" t="e">
        <f>D84*'Don gia XCSDL DC'!#REF!</f>
        <v>#REF!</v>
      </c>
      <c r="AD84" s="609">
        <f>D84*'Don gia XCSDL DC'!$K$10</f>
        <v>33670.959322888244</v>
      </c>
      <c r="AE84" s="609">
        <f>J84*'Don gia XCSDL DC'!$K$11</f>
        <v>0</v>
      </c>
      <c r="AF84" s="609" t="e">
        <f>S84*'Don gia XCSDL DC'!#REF!</f>
        <v>#REF!</v>
      </c>
      <c r="AG84" s="609" t="e">
        <f>D84*'Don gia XCSDL DC'!#REF!</f>
        <v>#REF!</v>
      </c>
      <c r="AH84" s="609" t="e">
        <f>J84*'Don gia XCSDL DC'!#REF!</f>
        <v>#REF!</v>
      </c>
      <c r="AI84" s="609" t="e">
        <f>D84*'Don gia XCSDL DC'!#REF!</f>
        <v>#REF!</v>
      </c>
      <c r="AJ84" s="609">
        <f>S84*2*'Don gia XCSDL DC'!$K$24</f>
        <v>1261057810.0313866</v>
      </c>
      <c r="AK84" s="609" t="e">
        <f>S84*3*'Don gia XCSDL DC'!#REF!</f>
        <v>#REF!</v>
      </c>
      <c r="AL84" s="609" t="e">
        <f>(S84*2+S84*3)*('Don gia XCSDL DC'!#REF!+'Don gia XCSDL DC'!#REF!+'Don gia XCSDL DC'!#REF!)</f>
        <v>#REF!</v>
      </c>
      <c r="AM84" s="609" t="e">
        <f>O84*'Don gia XCSDL DC'!#REF!*50%</f>
        <v>#REF!</v>
      </c>
      <c r="AN84" s="609" t="e">
        <f>T84*'Don gia XCSDL DC'!#REF!*$AN$8</f>
        <v>#REF!</v>
      </c>
      <c r="AO84" s="609" t="e">
        <f>U84*'Don gia XCSDL DC'!#REF!*1</f>
        <v>#REF!</v>
      </c>
      <c r="AP84" s="609" t="e">
        <f>P84*X84*'Don gia XCSDL DC'!#REF!</f>
        <v>#REF!</v>
      </c>
      <c r="AQ84" s="609" t="e">
        <f>Q84*$AQ$8*'Don gia XCSDL DC'!#REF!</f>
        <v>#REF!</v>
      </c>
      <c r="AR84" s="609" t="e">
        <f>M84*$AR$8*'Don gia XCSDL DC'!#REF!</f>
        <v>#REF!</v>
      </c>
      <c r="AS84" s="609" t="e">
        <f>J84*'Don gia XCSDL DC'!#REF!</f>
        <v>#REF!</v>
      </c>
      <c r="AT84" s="609">
        <f>D84*'Don gia XCSDL DC'!$K$26</f>
        <v>0</v>
      </c>
      <c r="AU84" s="609">
        <f>J84*'Don gia XCSDL DC'!$K$34</f>
        <v>0</v>
      </c>
      <c r="AV84" s="609">
        <f>O84*'Don gia XCSDL DC'!$K$37</f>
        <v>0</v>
      </c>
      <c r="AW84" s="610" t="e">
        <f t="shared" ref="AW84:AW143" si="49">SUM(AA84:AV84)</f>
        <v>#REF!</v>
      </c>
      <c r="AX84" s="611" t="e">
        <f t="shared" ref="AX84:AX143" si="50">AC84+AD84+AV84+AZ84+BA84</f>
        <v>#REF!</v>
      </c>
      <c r="AY84" s="806" t="e">
        <f t="shared" si="47"/>
        <v>#REF!</v>
      </c>
      <c r="AZ84" s="612" t="e">
        <f>D84*'Don gia XCSDL DC'!#REF!</f>
        <v>#REF!</v>
      </c>
      <c r="BA84" s="613" t="e">
        <f>(Q84+M84)*'Don gia XCSDL DC'!#REF!</f>
        <v>#REF!</v>
      </c>
    </row>
    <row r="85" spans="1:53" ht="20.25" customHeight="1">
      <c r="A85" s="599"/>
      <c r="B85" s="445">
        <v>2</v>
      </c>
      <c r="C85" s="445" t="s">
        <v>348</v>
      </c>
      <c r="D85" s="600">
        <v>21</v>
      </c>
      <c r="E85" s="558">
        <v>21</v>
      </c>
      <c r="F85" s="558">
        <v>1</v>
      </c>
      <c r="G85" s="640">
        <v>1</v>
      </c>
      <c r="H85" s="601"/>
      <c r="I85" s="601"/>
      <c r="J85" s="621">
        <v>165094</v>
      </c>
      <c r="K85" s="604">
        <v>165094</v>
      </c>
      <c r="L85" s="604">
        <v>165094</v>
      </c>
      <c r="M85" s="605">
        <f>J85*10%</f>
        <v>16509.400000000001</v>
      </c>
      <c r="N85" s="604">
        <f>J85-M85</f>
        <v>148584.6</v>
      </c>
      <c r="O85" s="604">
        <f>N85*$W$83</f>
        <v>137737.92420000001</v>
      </c>
      <c r="P85" s="604">
        <f>O85-T85-U85</f>
        <v>103753.42419999999</v>
      </c>
      <c r="Q85" s="604">
        <f>N85-O85</f>
        <v>10846.675799999997</v>
      </c>
      <c r="R85" s="604"/>
      <c r="S85" s="604">
        <v>65919</v>
      </c>
      <c r="T85" s="604">
        <f>S85*0.05</f>
        <v>3295.9500000000003</v>
      </c>
      <c r="U85" s="621">
        <f>135938/4-T85</f>
        <v>30688.55</v>
      </c>
      <c r="V85" s="604">
        <f>S85-T85-U85</f>
        <v>31934.500000000004</v>
      </c>
      <c r="W85" s="604"/>
      <c r="X85" s="607">
        <f t="shared" si="38"/>
        <v>0.4432242020194076</v>
      </c>
      <c r="Y85" s="608">
        <f>S85*12</f>
        <v>791028</v>
      </c>
      <c r="AA85" s="609">
        <f>D85*'Don gia XCSDL DC'!$K$8</f>
        <v>9686.4615701199236</v>
      </c>
      <c r="AB85" s="609">
        <f>D85*'Don gia XCSDL DC'!$K$9</f>
        <v>9242.065345119925</v>
      </c>
      <c r="AC85" s="609" t="e">
        <f>D85*'Don gia XCSDL DC'!#REF!</f>
        <v>#REF!</v>
      </c>
      <c r="AD85" s="609">
        <f>D85*'Don gia XCSDL DC'!$K$10</f>
        <v>37215.270830560687</v>
      </c>
      <c r="AE85" s="609">
        <f>J85*'Don gia XCSDL DC'!$K$11</f>
        <v>0</v>
      </c>
      <c r="AF85" s="609" t="e">
        <f>S85*'Don gia XCSDL DC'!#REF!</f>
        <v>#REF!</v>
      </c>
      <c r="AG85" s="609" t="e">
        <f>D85*'Don gia XCSDL DC'!#REF!</f>
        <v>#REF!</v>
      </c>
      <c r="AH85" s="609" t="e">
        <f>J85*'Don gia XCSDL DC'!#REF!</f>
        <v>#REF!</v>
      </c>
      <c r="AI85" s="609" t="e">
        <f>D85*'Don gia XCSDL DC'!#REF!</f>
        <v>#REF!</v>
      </c>
      <c r="AJ85" s="609">
        <f>S85*2*'Don gia XCSDL DC'!$K$24</f>
        <v>1127292412.3548498</v>
      </c>
      <c r="AK85" s="609" t="e">
        <f>S85*3*'Don gia XCSDL DC'!#REF!</f>
        <v>#REF!</v>
      </c>
      <c r="AL85" s="609" t="e">
        <f>(S85*2+S85*3)*('Don gia XCSDL DC'!#REF!+'Don gia XCSDL DC'!#REF!+'Don gia XCSDL DC'!#REF!)</f>
        <v>#REF!</v>
      </c>
      <c r="AM85" s="609" t="e">
        <f>O85*'Don gia XCSDL DC'!#REF!*50%</f>
        <v>#REF!</v>
      </c>
      <c r="AN85" s="609" t="e">
        <f>T85*'Don gia XCSDL DC'!#REF!*$AN$8</f>
        <v>#REF!</v>
      </c>
      <c r="AO85" s="609" t="e">
        <f>U85*'Don gia XCSDL DC'!#REF!*1</f>
        <v>#REF!</v>
      </c>
      <c r="AP85" s="609" t="e">
        <f>P85*X85*'Don gia XCSDL DC'!#REF!</f>
        <v>#REF!</v>
      </c>
      <c r="AQ85" s="609" t="e">
        <f>Q85*$AQ$8*'Don gia XCSDL DC'!#REF!</f>
        <v>#REF!</v>
      </c>
      <c r="AR85" s="609" t="e">
        <f>M85*$AR$8*'Don gia XCSDL DC'!#REF!</f>
        <v>#REF!</v>
      </c>
      <c r="AS85" s="609" t="e">
        <f>J85*'Don gia XCSDL DC'!#REF!</f>
        <v>#REF!</v>
      </c>
      <c r="AT85" s="609">
        <f>D85*'Don gia XCSDL DC'!$K$26</f>
        <v>0</v>
      </c>
      <c r="AU85" s="609">
        <f>J85*'Don gia XCSDL DC'!$K$34</f>
        <v>0</v>
      </c>
      <c r="AV85" s="609">
        <f>O85*'Don gia XCSDL DC'!$K$37</f>
        <v>0</v>
      </c>
      <c r="AW85" s="610" t="e">
        <f t="shared" si="49"/>
        <v>#REF!</v>
      </c>
      <c r="AX85" s="611" t="e">
        <f t="shared" si="50"/>
        <v>#REF!</v>
      </c>
      <c r="AY85" s="806" t="e">
        <f t="shared" si="47"/>
        <v>#REF!</v>
      </c>
      <c r="AZ85" s="612" t="e">
        <f>D85*'Don gia XCSDL DC'!#REF!</f>
        <v>#REF!</v>
      </c>
      <c r="BA85" s="613" t="e">
        <f>(Q85+M85)*'Don gia XCSDL DC'!#REF!</f>
        <v>#REF!</v>
      </c>
    </row>
    <row r="86" spans="1:53" ht="20.25" customHeight="1">
      <c r="A86" s="599"/>
      <c r="B86" s="445">
        <v>3</v>
      </c>
      <c r="C86" s="445" t="s">
        <v>349</v>
      </c>
      <c r="D86" s="600">
        <v>18</v>
      </c>
      <c r="E86" s="558">
        <v>18</v>
      </c>
      <c r="F86" s="558">
        <v>1</v>
      </c>
      <c r="G86" s="640">
        <v>1</v>
      </c>
      <c r="H86" s="601"/>
      <c r="I86" s="601"/>
      <c r="J86" s="621">
        <v>172382</v>
      </c>
      <c r="K86" s="604">
        <v>172382</v>
      </c>
      <c r="L86" s="604">
        <v>172382</v>
      </c>
      <c r="M86" s="605">
        <f>J86*10%</f>
        <v>17238.2</v>
      </c>
      <c r="N86" s="604">
        <f>J86-M86</f>
        <v>155143.79999999999</v>
      </c>
      <c r="O86" s="604">
        <f>N86*$W$83</f>
        <v>143818.3026</v>
      </c>
      <c r="P86" s="604">
        <f>O86-T86-U86</f>
        <v>107684.30260000001</v>
      </c>
      <c r="Q86" s="604">
        <f>N86-O86</f>
        <v>11325.497399999993</v>
      </c>
      <c r="R86" s="604"/>
      <c r="S86" s="604">
        <v>56241</v>
      </c>
      <c r="T86" s="604">
        <f>S86*0.05</f>
        <v>2812.05</v>
      </c>
      <c r="U86" s="621">
        <f>144536/4-T86</f>
        <v>33321.949999999997</v>
      </c>
      <c r="V86" s="604">
        <f>S86-T86-U86</f>
        <v>20107</v>
      </c>
      <c r="W86" s="604"/>
      <c r="X86" s="607">
        <f t="shared" si="38"/>
        <v>0.34584139693476951</v>
      </c>
      <c r="Y86" s="608">
        <f>S86*12</f>
        <v>674892</v>
      </c>
      <c r="AA86" s="609">
        <f>D86*'Don gia XCSDL DC'!$K$8</f>
        <v>8302.6813458170764</v>
      </c>
      <c r="AB86" s="609">
        <f>D86*'Don gia XCSDL DC'!$K$9</f>
        <v>7921.7702958170776</v>
      </c>
      <c r="AC86" s="609" t="e">
        <f>D86*'Don gia XCSDL DC'!#REF!</f>
        <v>#REF!</v>
      </c>
      <c r="AD86" s="609">
        <f>D86*'Don gia XCSDL DC'!$K$10</f>
        <v>31898.803569052019</v>
      </c>
      <c r="AE86" s="609">
        <f>J86*'Don gia XCSDL DC'!$K$11</f>
        <v>0</v>
      </c>
      <c r="AF86" s="609" t="e">
        <f>S86*'Don gia XCSDL DC'!#REF!</f>
        <v>#REF!</v>
      </c>
      <c r="AG86" s="609" t="e">
        <f>D86*'Don gia XCSDL DC'!#REF!</f>
        <v>#REF!</v>
      </c>
      <c r="AH86" s="609" t="e">
        <f>J86*'Don gia XCSDL DC'!#REF!</f>
        <v>#REF!</v>
      </c>
      <c r="AI86" s="609" t="e">
        <f>D86*'Don gia XCSDL DC'!#REF!</f>
        <v>#REF!</v>
      </c>
      <c r="AJ86" s="609">
        <f>S86*2*'Don gia XCSDL DC'!$K$24</f>
        <v>961787232.25851583</v>
      </c>
      <c r="AK86" s="609" t="e">
        <f>S86*3*'Don gia XCSDL DC'!#REF!</f>
        <v>#REF!</v>
      </c>
      <c r="AL86" s="609" t="e">
        <f>(S86*2+S86*3)*('Don gia XCSDL DC'!#REF!+'Don gia XCSDL DC'!#REF!+'Don gia XCSDL DC'!#REF!)</f>
        <v>#REF!</v>
      </c>
      <c r="AM86" s="609" t="e">
        <f>O86*'Don gia XCSDL DC'!#REF!*50%</f>
        <v>#REF!</v>
      </c>
      <c r="AN86" s="609" t="e">
        <f>T86*'Don gia XCSDL DC'!#REF!*$AN$8</f>
        <v>#REF!</v>
      </c>
      <c r="AO86" s="609" t="e">
        <f>U86*'Don gia XCSDL DC'!#REF!*1</f>
        <v>#REF!</v>
      </c>
      <c r="AP86" s="609" t="e">
        <f>P86*X86*'Don gia XCSDL DC'!#REF!</f>
        <v>#REF!</v>
      </c>
      <c r="AQ86" s="609" t="e">
        <f>Q86*$AQ$8*'Don gia XCSDL DC'!#REF!</f>
        <v>#REF!</v>
      </c>
      <c r="AR86" s="609" t="e">
        <f>M86*$AR$8*'Don gia XCSDL DC'!#REF!</f>
        <v>#REF!</v>
      </c>
      <c r="AS86" s="609" t="e">
        <f>J86*'Don gia XCSDL DC'!#REF!</f>
        <v>#REF!</v>
      </c>
      <c r="AT86" s="609">
        <f>D86*'Don gia XCSDL DC'!$K$26</f>
        <v>0</v>
      </c>
      <c r="AU86" s="609">
        <f>J86*'Don gia XCSDL DC'!$K$34</f>
        <v>0</v>
      </c>
      <c r="AV86" s="609">
        <f>O86*'Don gia XCSDL DC'!$K$37</f>
        <v>0</v>
      </c>
      <c r="AW86" s="610" t="e">
        <f t="shared" si="49"/>
        <v>#REF!</v>
      </c>
      <c r="AX86" s="611" t="e">
        <f t="shared" si="50"/>
        <v>#REF!</v>
      </c>
      <c r="AY86" s="806" t="e">
        <f t="shared" si="47"/>
        <v>#REF!</v>
      </c>
      <c r="AZ86" s="612" t="e">
        <f>D86*'Don gia XCSDL DC'!#REF!</f>
        <v>#REF!</v>
      </c>
      <c r="BA86" s="613" t="e">
        <f>(Q86+M86)*'Don gia XCSDL DC'!#REF!</f>
        <v>#REF!</v>
      </c>
    </row>
    <row r="87" spans="1:53" ht="20.25" customHeight="1">
      <c r="A87" s="599"/>
      <c r="B87" s="445">
        <v>4</v>
      </c>
      <c r="C87" s="445" t="s">
        <v>350</v>
      </c>
      <c r="D87" s="600">
        <v>14</v>
      </c>
      <c r="E87" s="558">
        <v>14</v>
      </c>
      <c r="F87" s="558">
        <v>1</v>
      </c>
      <c r="G87" s="640">
        <v>1</v>
      </c>
      <c r="H87" s="601"/>
      <c r="I87" s="601"/>
      <c r="J87" s="621">
        <v>131189</v>
      </c>
      <c r="K87" s="604">
        <v>142037</v>
      </c>
      <c r="L87" s="604">
        <v>142037</v>
      </c>
      <c r="M87" s="605">
        <f>J87*10%</f>
        <v>13118.900000000001</v>
      </c>
      <c r="N87" s="604">
        <f>J87-M87</f>
        <v>118070.1</v>
      </c>
      <c r="O87" s="604">
        <f>N87*$W$83</f>
        <v>109450.98270000001</v>
      </c>
      <c r="P87" s="604">
        <f>O87-T87-U87</f>
        <v>77785.982700000022</v>
      </c>
      <c r="Q87" s="604">
        <f>N87-O87</f>
        <v>8619.1172999999981</v>
      </c>
      <c r="R87" s="604"/>
      <c r="S87" s="604">
        <v>47308</v>
      </c>
      <c r="T87" s="604">
        <f>S87*0.05</f>
        <v>2365.4</v>
      </c>
      <c r="U87" s="621">
        <f>126660/4-T87</f>
        <v>29299.599999999999</v>
      </c>
      <c r="V87" s="604">
        <f>S87-T87-U87</f>
        <v>15643</v>
      </c>
      <c r="W87" s="604"/>
      <c r="X87" s="607">
        <f t="shared" si="38"/>
        <v>0.3574089918734889</v>
      </c>
      <c r="Y87" s="608">
        <f>S87*12</f>
        <v>567696</v>
      </c>
      <c r="AA87" s="609">
        <f>D87*'Don gia XCSDL DC'!$K$8</f>
        <v>6457.6410467466158</v>
      </c>
      <c r="AB87" s="609">
        <f>D87*'Don gia XCSDL DC'!$K$9</f>
        <v>6161.3768967466167</v>
      </c>
      <c r="AC87" s="609" t="e">
        <f>D87*'Don gia XCSDL DC'!#REF!</f>
        <v>#REF!</v>
      </c>
      <c r="AD87" s="609">
        <f>D87*'Don gia XCSDL DC'!$K$10</f>
        <v>24810.180553707127</v>
      </c>
      <c r="AE87" s="609">
        <f>J87*'Don gia XCSDL DC'!$K$11</f>
        <v>0</v>
      </c>
      <c r="AF87" s="609" t="e">
        <f>S87*'Don gia XCSDL DC'!#REF!</f>
        <v>#REF!</v>
      </c>
      <c r="AG87" s="609" t="e">
        <f>D87*'Don gia XCSDL DC'!#REF!</f>
        <v>#REF!</v>
      </c>
      <c r="AH87" s="609" t="e">
        <f>J87*'Don gia XCSDL DC'!#REF!</f>
        <v>#REF!</v>
      </c>
      <c r="AI87" s="609" t="e">
        <f>D87*'Don gia XCSDL DC'!#REF!</f>
        <v>#REF!</v>
      </c>
      <c r="AJ87" s="609">
        <f>S87*2*'Don gia XCSDL DC'!$K$24</f>
        <v>809022428.18736982</v>
      </c>
      <c r="AK87" s="609" t="e">
        <f>S87*3*'Don gia XCSDL DC'!#REF!</f>
        <v>#REF!</v>
      </c>
      <c r="AL87" s="609" t="e">
        <f>(S87*2+S87*3)*('Don gia XCSDL DC'!#REF!+'Don gia XCSDL DC'!#REF!+'Don gia XCSDL DC'!#REF!)</f>
        <v>#REF!</v>
      </c>
      <c r="AM87" s="609" t="e">
        <f>O87*'Don gia XCSDL DC'!#REF!*50%</f>
        <v>#REF!</v>
      </c>
      <c r="AN87" s="609" t="e">
        <f>T87*'Don gia XCSDL DC'!#REF!*$AN$8</f>
        <v>#REF!</v>
      </c>
      <c r="AO87" s="609" t="e">
        <f>U87*'Don gia XCSDL DC'!#REF!*1</f>
        <v>#REF!</v>
      </c>
      <c r="AP87" s="609" t="e">
        <f>P87*X87*'Don gia XCSDL DC'!#REF!</f>
        <v>#REF!</v>
      </c>
      <c r="AQ87" s="609" t="e">
        <f>Q87*$AQ$8*'Don gia XCSDL DC'!#REF!</f>
        <v>#REF!</v>
      </c>
      <c r="AR87" s="609" t="e">
        <f>M87*$AR$8*'Don gia XCSDL DC'!#REF!</f>
        <v>#REF!</v>
      </c>
      <c r="AS87" s="609" t="e">
        <f>J87*'Don gia XCSDL DC'!#REF!</f>
        <v>#REF!</v>
      </c>
      <c r="AT87" s="609">
        <f>D87*'Don gia XCSDL DC'!$K$26</f>
        <v>0</v>
      </c>
      <c r="AU87" s="609">
        <f>J87*'Don gia XCSDL DC'!$K$34</f>
        <v>0</v>
      </c>
      <c r="AV87" s="609">
        <f>O87*'Don gia XCSDL DC'!$K$37</f>
        <v>0</v>
      </c>
      <c r="AW87" s="610" t="e">
        <f t="shared" si="49"/>
        <v>#REF!</v>
      </c>
      <c r="AX87" s="611" t="e">
        <f t="shared" si="50"/>
        <v>#REF!</v>
      </c>
      <c r="AY87" s="806" t="e">
        <f t="shared" si="47"/>
        <v>#REF!</v>
      </c>
      <c r="AZ87" s="612" t="e">
        <f>D87*'Don gia XCSDL DC'!#REF!</f>
        <v>#REF!</v>
      </c>
      <c r="BA87" s="613" t="e">
        <f>(Q87+M87)*'Don gia XCSDL DC'!#REF!</f>
        <v>#REF!</v>
      </c>
    </row>
    <row r="88" spans="1:53" s="723" customFormat="1" ht="20.25" customHeight="1">
      <c r="A88" s="712"/>
      <c r="B88" s="713"/>
      <c r="C88" s="713" t="s">
        <v>351</v>
      </c>
      <c r="D88" s="714">
        <v>14</v>
      </c>
      <c r="E88" s="737">
        <v>14</v>
      </c>
      <c r="F88" s="737"/>
      <c r="G88" s="715">
        <v>1</v>
      </c>
      <c r="H88" s="715"/>
      <c r="I88" s="715"/>
      <c r="J88" s="730">
        <v>142037</v>
      </c>
      <c r="K88" s="718"/>
      <c r="L88" s="718"/>
      <c r="M88" s="719"/>
      <c r="N88" s="718"/>
      <c r="O88" s="718"/>
      <c r="P88" s="718"/>
      <c r="Q88" s="718"/>
      <c r="R88" s="718"/>
      <c r="S88" s="718"/>
      <c r="T88" s="718"/>
      <c r="U88" s="730"/>
      <c r="V88" s="718"/>
      <c r="W88" s="718"/>
      <c r="X88" s="721"/>
      <c r="Y88" s="722"/>
      <c r="AA88" s="609"/>
      <c r="AB88" s="609"/>
      <c r="AC88" s="609"/>
      <c r="AD88" s="724"/>
      <c r="AE88" s="724"/>
      <c r="AF88" s="724"/>
      <c r="AG88" s="724"/>
      <c r="AH88" s="724"/>
      <c r="AI88" s="724"/>
      <c r="AJ88" s="724"/>
      <c r="AK88" s="724"/>
      <c r="AL88" s="724"/>
      <c r="AM88" s="724"/>
      <c r="AN88" s="724"/>
      <c r="AO88" s="724"/>
      <c r="AP88" s="724"/>
      <c r="AQ88" s="724"/>
      <c r="AR88" s="724"/>
      <c r="AS88" s="724"/>
      <c r="AT88" s="724"/>
      <c r="AU88" s="724"/>
      <c r="AV88" s="609"/>
      <c r="AW88" s="610"/>
      <c r="AX88" s="611"/>
      <c r="AY88" s="807"/>
      <c r="AZ88" s="612"/>
      <c r="BA88" s="613"/>
    </row>
    <row r="89" spans="1:53" s="723" customFormat="1" ht="20.25" customHeight="1">
      <c r="A89" s="712"/>
      <c r="B89" s="713"/>
      <c r="C89" s="713" t="s">
        <v>352</v>
      </c>
      <c r="D89" s="714">
        <v>14</v>
      </c>
      <c r="E89" s="737">
        <v>14</v>
      </c>
      <c r="F89" s="737"/>
      <c r="G89" s="715">
        <v>1</v>
      </c>
      <c r="H89" s="715"/>
      <c r="I89" s="715"/>
      <c r="J89" s="730">
        <v>177606</v>
      </c>
      <c r="K89" s="718"/>
      <c r="L89" s="718"/>
      <c r="M89" s="719"/>
      <c r="N89" s="718"/>
      <c r="O89" s="718"/>
      <c r="P89" s="718"/>
      <c r="Q89" s="718"/>
      <c r="R89" s="718"/>
      <c r="S89" s="718"/>
      <c r="T89" s="718"/>
      <c r="U89" s="730"/>
      <c r="V89" s="718"/>
      <c r="W89" s="718"/>
      <c r="X89" s="721"/>
      <c r="Y89" s="722"/>
      <c r="AA89" s="609"/>
      <c r="AB89" s="609"/>
      <c r="AC89" s="609"/>
      <c r="AD89" s="724"/>
      <c r="AE89" s="724"/>
      <c r="AF89" s="724"/>
      <c r="AG89" s="724"/>
      <c r="AH89" s="724"/>
      <c r="AI89" s="724"/>
      <c r="AJ89" s="724"/>
      <c r="AK89" s="724"/>
      <c r="AL89" s="724"/>
      <c r="AM89" s="724"/>
      <c r="AN89" s="724"/>
      <c r="AO89" s="724"/>
      <c r="AP89" s="724"/>
      <c r="AQ89" s="724"/>
      <c r="AR89" s="724"/>
      <c r="AS89" s="724"/>
      <c r="AT89" s="724"/>
      <c r="AU89" s="724"/>
      <c r="AV89" s="609"/>
      <c r="AW89" s="610"/>
      <c r="AX89" s="611"/>
      <c r="AY89" s="807"/>
      <c r="AZ89" s="612"/>
      <c r="BA89" s="613"/>
    </row>
    <row r="90" spans="1:53" s="723" customFormat="1" ht="20.25" customHeight="1">
      <c r="A90" s="712"/>
      <c r="B90" s="713"/>
      <c r="C90" s="713" t="s">
        <v>353</v>
      </c>
      <c r="D90" s="714">
        <v>14</v>
      </c>
      <c r="E90" s="737">
        <v>14</v>
      </c>
      <c r="F90" s="737"/>
      <c r="G90" s="715">
        <v>1</v>
      </c>
      <c r="H90" s="715"/>
      <c r="I90" s="715"/>
      <c r="J90" s="730">
        <v>166790</v>
      </c>
      <c r="K90" s="718">
        <v>131189</v>
      </c>
      <c r="L90" s="718">
        <v>131189</v>
      </c>
      <c r="M90" s="719"/>
      <c r="N90" s="718"/>
      <c r="O90" s="718"/>
      <c r="P90" s="718"/>
      <c r="Q90" s="718"/>
      <c r="R90" s="718"/>
      <c r="S90" s="718"/>
      <c r="T90" s="718"/>
      <c r="U90" s="730"/>
      <c r="V90" s="718"/>
      <c r="W90" s="718"/>
      <c r="X90" s="721"/>
      <c r="Y90" s="722"/>
      <c r="AA90" s="609"/>
      <c r="AB90" s="609"/>
      <c r="AC90" s="609"/>
      <c r="AD90" s="724"/>
      <c r="AE90" s="724"/>
      <c r="AF90" s="724"/>
      <c r="AG90" s="724"/>
      <c r="AH90" s="724"/>
      <c r="AI90" s="724"/>
      <c r="AJ90" s="724"/>
      <c r="AK90" s="724"/>
      <c r="AL90" s="724"/>
      <c r="AM90" s="724"/>
      <c r="AN90" s="724"/>
      <c r="AO90" s="724"/>
      <c r="AP90" s="724"/>
      <c r="AQ90" s="724"/>
      <c r="AR90" s="724"/>
      <c r="AS90" s="724"/>
      <c r="AT90" s="724"/>
      <c r="AU90" s="724"/>
      <c r="AV90" s="609"/>
      <c r="AW90" s="610"/>
      <c r="AX90" s="611"/>
      <c r="AY90" s="807"/>
      <c r="AZ90" s="612"/>
      <c r="BA90" s="613"/>
    </row>
    <row r="91" spans="1:53" s="723" customFormat="1" ht="20.25" customHeight="1">
      <c r="A91" s="712"/>
      <c r="B91" s="713"/>
      <c r="C91" s="713" t="s">
        <v>354</v>
      </c>
      <c r="D91" s="714">
        <v>12</v>
      </c>
      <c r="E91" s="737">
        <v>12</v>
      </c>
      <c r="F91" s="737"/>
      <c r="G91" s="715">
        <v>1</v>
      </c>
      <c r="H91" s="715"/>
      <c r="I91" s="715"/>
      <c r="J91" s="746">
        <v>184370</v>
      </c>
      <c r="K91" s="716"/>
      <c r="L91" s="734">
        <v>111886</v>
      </c>
      <c r="M91" s="719"/>
      <c r="N91" s="718"/>
      <c r="O91" s="718"/>
      <c r="P91" s="718"/>
      <c r="Q91" s="718"/>
      <c r="R91" s="718"/>
      <c r="S91" s="718"/>
      <c r="T91" s="718"/>
      <c r="U91" s="730"/>
      <c r="V91" s="718"/>
      <c r="W91" s="718"/>
      <c r="X91" s="721"/>
      <c r="Y91" s="722"/>
      <c r="AA91" s="609"/>
      <c r="AB91" s="609"/>
      <c r="AC91" s="609"/>
      <c r="AD91" s="724"/>
      <c r="AE91" s="724"/>
      <c r="AF91" s="724"/>
      <c r="AG91" s="724"/>
      <c r="AH91" s="724"/>
      <c r="AI91" s="724"/>
      <c r="AJ91" s="724"/>
      <c r="AK91" s="724"/>
      <c r="AL91" s="724"/>
      <c r="AM91" s="724"/>
      <c r="AN91" s="724"/>
      <c r="AO91" s="724"/>
      <c r="AP91" s="724"/>
      <c r="AQ91" s="724"/>
      <c r="AR91" s="724"/>
      <c r="AS91" s="724"/>
      <c r="AT91" s="724"/>
      <c r="AU91" s="724"/>
      <c r="AV91" s="609"/>
      <c r="AW91" s="610"/>
      <c r="AX91" s="611"/>
      <c r="AY91" s="807"/>
      <c r="AZ91" s="612"/>
      <c r="BA91" s="613"/>
    </row>
    <row r="92" spans="1:53" s="598" customFormat="1" ht="24.75" customHeight="1">
      <c r="A92" s="589">
        <v>10</v>
      </c>
      <c r="B92" s="1945" t="s">
        <v>355</v>
      </c>
      <c r="C92" s="1945"/>
      <c r="D92" s="594"/>
      <c r="E92" s="595">
        <f>SUM(E93:E95)</f>
        <v>127</v>
      </c>
      <c r="F92" s="595">
        <f>SUM(F93:F95)</f>
        <v>3</v>
      </c>
      <c r="G92" s="596">
        <f>SUM(G93:G100)</f>
        <v>8</v>
      </c>
      <c r="H92" s="595">
        <v>8</v>
      </c>
      <c r="I92" s="595"/>
      <c r="J92" s="595">
        <f t="shared" ref="J92:Q92" si="51">SUM(J93:J95)</f>
        <v>625580.52</v>
      </c>
      <c r="K92" s="595">
        <f t="shared" si="51"/>
        <v>628822.52</v>
      </c>
      <c r="L92" s="595">
        <f t="shared" si="51"/>
        <v>628822.52</v>
      </c>
      <c r="M92" s="595">
        <f t="shared" si="51"/>
        <v>93837.078000000009</v>
      </c>
      <c r="N92" s="595">
        <f t="shared" si="51"/>
        <v>531743.44200000004</v>
      </c>
      <c r="O92" s="595">
        <f t="shared" si="51"/>
        <v>485481.76254600007</v>
      </c>
      <c r="P92" s="595">
        <f t="shared" si="51"/>
        <v>406008.36254600005</v>
      </c>
      <c r="Q92" s="595">
        <f t="shared" si="51"/>
        <v>46261.679453999968</v>
      </c>
      <c r="R92" s="595"/>
      <c r="S92" s="595">
        <f>SUM(S93:S95)</f>
        <v>137916</v>
      </c>
      <c r="T92" s="595">
        <f>SUM(T93:T95)</f>
        <v>6895.8</v>
      </c>
      <c r="U92" s="595">
        <f>SUM(U93:U95)</f>
        <v>72577.600000000006</v>
      </c>
      <c r="V92" s="595">
        <f>SUM(V93:V95)</f>
        <v>58442.600000000006</v>
      </c>
      <c r="W92" s="597">
        <v>0.91300000000000003</v>
      </c>
      <c r="X92" s="607">
        <f t="shared" si="38"/>
        <v>0.31143347941643351</v>
      </c>
      <c r="Y92" s="595">
        <f>SUM(Y93:Y95)</f>
        <v>1654992</v>
      </c>
      <c r="AA92" s="609"/>
      <c r="AB92" s="609"/>
      <c r="AC92" s="609"/>
      <c r="AD92" s="609"/>
      <c r="AE92" s="609"/>
      <c r="AF92" s="609"/>
      <c r="AG92" s="609"/>
      <c r="AH92" s="609"/>
      <c r="AI92" s="609"/>
      <c r="AJ92" s="609"/>
      <c r="AK92" s="609"/>
      <c r="AL92" s="609"/>
      <c r="AM92" s="609"/>
      <c r="AN92" s="609"/>
      <c r="AO92" s="609"/>
      <c r="AP92" s="609"/>
      <c r="AQ92" s="609"/>
      <c r="AR92" s="609"/>
      <c r="AS92" s="609"/>
      <c r="AT92" s="609"/>
      <c r="AU92" s="609"/>
      <c r="AV92" s="609"/>
      <c r="AW92" s="610"/>
      <c r="AX92" s="611"/>
      <c r="AY92" s="806"/>
      <c r="AZ92" s="612"/>
      <c r="BA92" s="613"/>
    </row>
    <row r="93" spans="1:53" ht="23.25" customHeight="1">
      <c r="A93" s="599"/>
      <c r="B93" s="614">
        <v>1</v>
      </c>
      <c r="C93" s="641" t="s">
        <v>356</v>
      </c>
      <c r="D93" s="642">
        <v>35</v>
      </c>
      <c r="E93" s="643">
        <v>35</v>
      </c>
      <c r="F93" s="643">
        <v>1</v>
      </c>
      <c r="G93" s="640">
        <v>1</v>
      </c>
      <c r="H93" s="643"/>
      <c r="I93" s="643"/>
      <c r="J93" s="604">
        <v>227920</v>
      </c>
      <c r="K93" s="604">
        <v>227920</v>
      </c>
      <c r="L93" s="604">
        <v>227920</v>
      </c>
      <c r="M93" s="605">
        <f>J93*15%</f>
        <v>34188</v>
      </c>
      <c r="N93" s="604">
        <f>J93-M93</f>
        <v>193732</v>
      </c>
      <c r="O93" s="604">
        <f>N93*$W$92</f>
        <v>176877.31600000002</v>
      </c>
      <c r="P93" s="604">
        <f>O93-T93-U93</f>
        <v>169749.51600000003</v>
      </c>
      <c r="Q93" s="604">
        <f>N93-O93</f>
        <v>16854.683999999979</v>
      </c>
      <c r="R93" s="604"/>
      <c r="S93" s="604">
        <v>11816</v>
      </c>
      <c r="T93" s="604">
        <f>S93*0.05</f>
        <v>590.80000000000007</v>
      </c>
      <c r="U93" s="636">
        <v>6537</v>
      </c>
      <c r="V93" s="604">
        <f>S93-T93-U93</f>
        <v>4688.2000000000007</v>
      </c>
      <c r="W93" s="604"/>
      <c r="X93" s="607">
        <f t="shared" si="38"/>
        <v>0.21786692637372718</v>
      </c>
      <c r="Y93" s="608">
        <f>S93*12</f>
        <v>141792</v>
      </c>
      <c r="AA93" s="609">
        <f>D93*'Don gia XCSDL DC'!$K$8</f>
        <v>16144.102616866538</v>
      </c>
      <c r="AB93" s="609">
        <f>D93*'Don gia XCSDL DC'!$K$9</f>
        <v>15403.44224186654</v>
      </c>
      <c r="AC93" s="609" t="e">
        <f>D93*'Don gia XCSDL DC'!#REF!</f>
        <v>#REF!</v>
      </c>
      <c r="AD93" s="609">
        <f>D93*'Don gia XCSDL DC'!$K$10</f>
        <v>62025.451384267813</v>
      </c>
      <c r="AE93" s="609">
        <f>J93*'Don gia XCSDL DC'!$K$11</f>
        <v>0</v>
      </c>
      <c r="AF93" s="609" t="e">
        <f>S93*'Don gia XCSDL DC'!#REF!</f>
        <v>#REF!</v>
      </c>
      <c r="AG93" s="609" t="e">
        <f>D93*'Don gia XCSDL DC'!#REF!</f>
        <v>#REF!</v>
      </c>
      <c r="AH93" s="609" t="e">
        <f>J93*'Don gia XCSDL DC'!#REF!</f>
        <v>#REF!</v>
      </c>
      <c r="AI93" s="609" t="e">
        <f>D93*'Don gia XCSDL DC'!#REF!</f>
        <v>#REF!</v>
      </c>
      <c r="AJ93" s="609">
        <f>S93*2*'Don gia XCSDL DC'!$K$24</f>
        <v>202067494.11224237</v>
      </c>
      <c r="AK93" s="609" t="e">
        <f>S93*3*'Don gia XCSDL DC'!#REF!</f>
        <v>#REF!</v>
      </c>
      <c r="AL93" s="609" t="e">
        <f>(S93*2+S93*3)*('Don gia XCSDL DC'!#REF!+'Don gia XCSDL DC'!#REF!+'Don gia XCSDL DC'!#REF!)</f>
        <v>#REF!</v>
      </c>
      <c r="AM93" s="609" t="e">
        <f>O93*'Don gia XCSDL DC'!#REF!*50%</f>
        <v>#REF!</v>
      </c>
      <c r="AN93" s="609" t="e">
        <f>T93*'Don gia XCSDL DC'!#REF!*$AN$8</f>
        <v>#REF!</v>
      </c>
      <c r="AO93" s="609" t="e">
        <f>U93*'Don gia XCSDL DC'!#REF!*1</f>
        <v>#REF!</v>
      </c>
      <c r="AP93" s="609" t="e">
        <f>P93*X93*'Don gia XCSDL DC'!#REF!</f>
        <v>#REF!</v>
      </c>
      <c r="AQ93" s="609" t="e">
        <f>Q93*$AQ$8*'Don gia XCSDL DC'!#REF!</f>
        <v>#REF!</v>
      </c>
      <c r="AR93" s="609" t="e">
        <f>M93*$AR$8*'Don gia XCSDL DC'!#REF!</f>
        <v>#REF!</v>
      </c>
      <c r="AS93" s="609" t="e">
        <f>J93*'Don gia XCSDL DC'!#REF!</f>
        <v>#REF!</v>
      </c>
      <c r="AT93" s="609">
        <f>D93*'Don gia XCSDL DC'!$K$26</f>
        <v>0</v>
      </c>
      <c r="AU93" s="609">
        <f>J93*'Don gia XCSDL DC'!$K$34</f>
        <v>0</v>
      </c>
      <c r="AV93" s="609">
        <f>O93*'Don gia XCSDL DC'!$K$37</f>
        <v>0</v>
      </c>
      <c r="AW93" s="610" t="e">
        <f t="shared" si="49"/>
        <v>#REF!</v>
      </c>
      <c r="AX93" s="611" t="e">
        <f t="shared" si="50"/>
        <v>#REF!</v>
      </c>
      <c r="AY93" s="806" t="e">
        <f t="shared" si="47"/>
        <v>#REF!</v>
      </c>
      <c r="AZ93" s="612" t="e">
        <f>D93*'Don gia XCSDL DC'!#REF!</f>
        <v>#REF!</v>
      </c>
      <c r="BA93" s="613" t="e">
        <f>(Q93+M93)*'Don gia XCSDL DC'!#REF!</f>
        <v>#REF!</v>
      </c>
    </row>
    <row r="94" spans="1:53" ht="23.25" customHeight="1">
      <c r="A94" s="599"/>
      <c r="B94" s="614">
        <v>2</v>
      </c>
      <c r="C94" s="641" t="s">
        <v>357</v>
      </c>
      <c r="D94" s="642">
        <v>48</v>
      </c>
      <c r="E94" s="643">
        <v>48</v>
      </c>
      <c r="F94" s="643">
        <v>1</v>
      </c>
      <c r="G94" s="640">
        <v>1</v>
      </c>
      <c r="H94" s="643"/>
      <c r="I94" s="643"/>
      <c r="J94" s="604">
        <v>196427.52000000005</v>
      </c>
      <c r="K94" s="604">
        <v>204475</v>
      </c>
      <c r="L94" s="604">
        <v>204475</v>
      </c>
      <c r="M94" s="605">
        <f>J94*15%</f>
        <v>29464.128000000008</v>
      </c>
      <c r="N94" s="604">
        <f>J94-M94</f>
        <v>166963.39200000005</v>
      </c>
      <c r="O94" s="604">
        <f>N94*$W$92</f>
        <v>152437.57689600004</v>
      </c>
      <c r="P94" s="604">
        <f>O94-T94-U94</f>
        <v>103338.97689600004</v>
      </c>
      <c r="Q94" s="604">
        <f>N94-O94</f>
        <v>14525.815104000008</v>
      </c>
      <c r="R94" s="604"/>
      <c r="S94" s="604">
        <v>88000</v>
      </c>
      <c r="T94" s="604">
        <f>S94*0.05</f>
        <v>4400</v>
      </c>
      <c r="U94" s="621">
        <f>245493/5-T94</f>
        <v>44698.6</v>
      </c>
      <c r="V94" s="604">
        <f>S94-T94-U94</f>
        <v>38901.4</v>
      </c>
      <c r="W94" s="604"/>
      <c r="X94" s="607">
        <f t="shared" si="38"/>
        <v>0.4984445709505092</v>
      </c>
      <c r="Y94" s="608">
        <f>S94*12</f>
        <v>1056000</v>
      </c>
      <c r="AA94" s="609">
        <f>D94*'Don gia XCSDL DC'!$K$8</f>
        <v>22140.483588845538</v>
      </c>
      <c r="AB94" s="609">
        <f>D94*'Don gia XCSDL DC'!$K$9</f>
        <v>21124.720788845541</v>
      </c>
      <c r="AC94" s="609" t="e">
        <f>D94*'Don gia XCSDL DC'!#REF!</f>
        <v>#REF!</v>
      </c>
      <c r="AD94" s="609">
        <f>D94*'Don gia XCSDL DC'!$K$10</f>
        <v>85063.476184138723</v>
      </c>
      <c r="AE94" s="609">
        <f>J94*'Don gia XCSDL DC'!$K$11</f>
        <v>0</v>
      </c>
      <c r="AF94" s="609" t="e">
        <f>S94*'Don gia XCSDL DC'!#REF!</f>
        <v>#REF!</v>
      </c>
      <c r="AG94" s="609" t="e">
        <f>D94*'Don gia XCSDL DC'!#REF!</f>
        <v>#REF!</v>
      </c>
      <c r="AH94" s="609" t="e">
        <f>J94*'Don gia XCSDL DC'!#REF!</f>
        <v>#REF!</v>
      </c>
      <c r="AI94" s="609" t="e">
        <f>D94*'Don gia XCSDL DC'!#REF!</f>
        <v>#REF!</v>
      </c>
      <c r="AJ94" s="609">
        <f>S94*2*'Don gia XCSDL DC'!$K$24</f>
        <v>1504903476.8007219</v>
      </c>
      <c r="AK94" s="609" t="e">
        <f>S94*3*'Don gia XCSDL DC'!#REF!</f>
        <v>#REF!</v>
      </c>
      <c r="AL94" s="609" t="e">
        <f>(S94*2+S94*3)*('Don gia XCSDL DC'!#REF!+'Don gia XCSDL DC'!#REF!+'Don gia XCSDL DC'!#REF!)</f>
        <v>#REF!</v>
      </c>
      <c r="AM94" s="609" t="e">
        <f>O94*'Don gia XCSDL DC'!#REF!*50%</f>
        <v>#REF!</v>
      </c>
      <c r="AN94" s="609" t="e">
        <f>T94*'Don gia XCSDL DC'!#REF!*$AN$8</f>
        <v>#REF!</v>
      </c>
      <c r="AO94" s="609" t="e">
        <f>U94*'Don gia XCSDL DC'!#REF!*1</f>
        <v>#REF!</v>
      </c>
      <c r="AP94" s="609" t="e">
        <f>P94*X94*'Don gia XCSDL DC'!#REF!</f>
        <v>#REF!</v>
      </c>
      <c r="AQ94" s="609" t="e">
        <f>Q94*$AQ$8*'Don gia XCSDL DC'!#REF!</f>
        <v>#REF!</v>
      </c>
      <c r="AR94" s="609" t="e">
        <f>M94*$AR$8*'Don gia XCSDL DC'!#REF!</f>
        <v>#REF!</v>
      </c>
      <c r="AS94" s="609" t="e">
        <f>J94*'Don gia XCSDL DC'!#REF!</f>
        <v>#REF!</v>
      </c>
      <c r="AT94" s="609">
        <f>D94*'Don gia XCSDL DC'!$K$26</f>
        <v>0</v>
      </c>
      <c r="AU94" s="609">
        <f>J94*'Don gia XCSDL DC'!$K$34</f>
        <v>0</v>
      </c>
      <c r="AV94" s="609">
        <f>O94*'Don gia XCSDL DC'!$K$37</f>
        <v>0</v>
      </c>
      <c r="AW94" s="610" t="e">
        <f t="shared" si="49"/>
        <v>#REF!</v>
      </c>
      <c r="AX94" s="611" t="e">
        <f t="shared" si="50"/>
        <v>#REF!</v>
      </c>
      <c r="AY94" s="806" t="e">
        <f t="shared" si="47"/>
        <v>#REF!</v>
      </c>
      <c r="AZ94" s="612" t="e">
        <f>D94*'Don gia XCSDL DC'!#REF!</f>
        <v>#REF!</v>
      </c>
      <c r="BA94" s="613" t="e">
        <f>(Q94+M94)*'Don gia XCSDL DC'!#REF!</f>
        <v>#REF!</v>
      </c>
    </row>
    <row r="95" spans="1:53" ht="23.25" customHeight="1">
      <c r="A95" s="599"/>
      <c r="B95" s="614">
        <v>3</v>
      </c>
      <c r="C95" s="641" t="s">
        <v>358</v>
      </c>
      <c r="D95" s="642">
        <v>44</v>
      </c>
      <c r="E95" s="643">
        <v>44</v>
      </c>
      <c r="F95" s="643">
        <v>1</v>
      </c>
      <c r="G95" s="640">
        <v>1</v>
      </c>
      <c r="H95" s="643"/>
      <c r="I95" s="643"/>
      <c r="J95" s="604">
        <v>201233</v>
      </c>
      <c r="K95" s="604">
        <v>196427.51999999999</v>
      </c>
      <c r="L95" s="604">
        <v>196427.51999999999</v>
      </c>
      <c r="M95" s="605">
        <f>J95*15%</f>
        <v>30184.949999999997</v>
      </c>
      <c r="N95" s="604">
        <f>J95-M95</f>
        <v>171048.05</v>
      </c>
      <c r="O95" s="604">
        <f>N95*$W$92</f>
        <v>156166.86965000001</v>
      </c>
      <c r="P95" s="604">
        <f>O95-T95-U95</f>
        <v>132919.86965000001</v>
      </c>
      <c r="Q95" s="604">
        <f>N95-O95</f>
        <v>14881.180349999981</v>
      </c>
      <c r="R95" s="604"/>
      <c r="S95" s="604">
        <v>38100</v>
      </c>
      <c r="T95" s="604">
        <f>S95*0.05</f>
        <v>1905</v>
      </c>
      <c r="U95" s="636">
        <v>21342</v>
      </c>
      <c r="V95" s="604">
        <f>S95-T95-U95</f>
        <v>14853</v>
      </c>
      <c r="W95" s="604"/>
      <c r="X95" s="607">
        <f t="shared" si="38"/>
        <v>0.28553323001344388</v>
      </c>
      <c r="Y95" s="608">
        <f>S95*12</f>
        <v>457200</v>
      </c>
      <c r="AA95" s="609">
        <f>D95*'Don gia XCSDL DC'!$K$8</f>
        <v>20295.443289775078</v>
      </c>
      <c r="AB95" s="609">
        <f>D95*'Don gia XCSDL DC'!$K$9</f>
        <v>19364.327389775081</v>
      </c>
      <c r="AC95" s="609" t="e">
        <f>D95*'Don gia XCSDL DC'!#REF!</f>
        <v>#REF!</v>
      </c>
      <c r="AD95" s="609">
        <f>D95*'Don gia XCSDL DC'!$K$10</f>
        <v>77974.853168793823</v>
      </c>
      <c r="AE95" s="609">
        <f>J95*'Don gia XCSDL DC'!$K$11</f>
        <v>0</v>
      </c>
      <c r="AF95" s="609" t="e">
        <f>S95*'Don gia XCSDL DC'!#REF!</f>
        <v>#REF!</v>
      </c>
      <c r="AG95" s="609" t="e">
        <f>D95*'Don gia XCSDL DC'!#REF!</f>
        <v>#REF!</v>
      </c>
      <c r="AH95" s="609" t="e">
        <f>J95*'Don gia XCSDL DC'!#REF!</f>
        <v>#REF!</v>
      </c>
      <c r="AI95" s="609" t="e">
        <f>D95*'Don gia XCSDL DC'!#REF!</f>
        <v>#REF!</v>
      </c>
      <c r="AJ95" s="609">
        <f>S95*2*'Don gia XCSDL DC'!$K$24</f>
        <v>651554800.75122166</v>
      </c>
      <c r="AK95" s="609" t="e">
        <f>S95*3*'Don gia XCSDL DC'!#REF!</f>
        <v>#REF!</v>
      </c>
      <c r="AL95" s="609" t="e">
        <f>(S95*2+S95*3)*('Don gia XCSDL DC'!#REF!+'Don gia XCSDL DC'!#REF!+'Don gia XCSDL DC'!#REF!)</f>
        <v>#REF!</v>
      </c>
      <c r="AM95" s="609" t="e">
        <f>O95*'Don gia XCSDL DC'!#REF!*50%</f>
        <v>#REF!</v>
      </c>
      <c r="AN95" s="609" t="e">
        <f>T95*'Don gia XCSDL DC'!#REF!*$AN$8</f>
        <v>#REF!</v>
      </c>
      <c r="AO95" s="609" t="e">
        <f>U95*'Don gia XCSDL DC'!#REF!*1</f>
        <v>#REF!</v>
      </c>
      <c r="AP95" s="609" t="e">
        <f>P95*X95*'Don gia XCSDL DC'!#REF!</f>
        <v>#REF!</v>
      </c>
      <c r="AQ95" s="609" t="e">
        <f>Q95*$AQ$8*'Don gia XCSDL DC'!#REF!</f>
        <v>#REF!</v>
      </c>
      <c r="AR95" s="609" t="e">
        <f>M95*$AR$8*'Don gia XCSDL DC'!#REF!</f>
        <v>#REF!</v>
      </c>
      <c r="AS95" s="609" t="e">
        <f>J95*'Don gia XCSDL DC'!#REF!</f>
        <v>#REF!</v>
      </c>
      <c r="AT95" s="609">
        <f>D95*'Don gia XCSDL DC'!$K$26</f>
        <v>0</v>
      </c>
      <c r="AU95" s="609">
        <f>J95*'Don gia XCSDL DC'!$K$34</f>
        <v>0</v>
      </c>
      <c r="AV95" s="609">
        <f>O95*'Don gia XCSDL DC'!$K$37</f>
        <v>0</v>
      </c>
      <c r="AW95" s="610" t="e">
        <f t="shared" si="49"/>
        <v>#REF!</v>
      </c>
      <c r="AX95" s="611" t="e">
        <f t="shared" si="50"/>
        <v>#REF!</v>
      </c>
      <c r="AY95" s="806" t="e">
        <f t="shared" si="47"/>
        <v>#REF!</v>
      </c>
      <c r="AZ95" s="612" t="e">
        <f>D95*'Don gia XCSDL DC'!#REF!</f>
        <v>#REF!</v>
      </c>
      <c r="BA95" s="613" t="e">
        <f>(Q95+M95)*'Don gia XCSDL DC'!#REF!</f>
        <v>#REF!</v>
      </c>
    </row>
    <row r="96" spans="1:53" s="723" customFormat="1" ht="23.25" customHeight="1">
      <c r="A96" s="712"/>
      <c r="B96" s="716"/>
      <c r="C96" s="752" t="s">
        <v>359</v>
      </c>
      <c r="D96" s="753">
        <v>19</v>
      </c>
      <c r="E96" s="754">
        <v>19</v>
      </c>
      <c r="F96" s="754"/>
      <c r="G96" s="715">
        <v>1</v>
      </c>
      <c r="H96" s="754"/>
      <c r="I96" s="754"/>
      <c r="J96" s="755">
        <v>91559</v>
      </c>
      <c r="K96" s="716"/>
      <c r="L96" s="756">
        <v>78136</v>
      </c>
      <c r="M96" s="719"/>
      <c r="N96" s="718"/>
      <c r="O96" s="718"/>
      <c r="P96" s="718"/>
      <c r="Q96" s="718"/>
      <c r="R96" s="718"/>
      <c r="S96" s="718"/>
      <c r="T96" s="718"/>
      <c r="U96" s="730"/>
      <c r="V96" s="718"/>
      <c r="W96" s="718"/>
      <c r="X96" s="721"/>
      <c r="Y96" s="722"/>
      <c r="AA96" s="609"/>
      <c r="AB96" s="609"/>
      <c r="AC96" s="609"/>
      <c r="AD96" s="724"/>
      <c r="AE96" s="724"/>
      <c r="AF96" s="724"/>
      <c r="AG96" s="724"/>
      <c r="AH96" s="724"/>
      <c r="AI96" s="724"/>
      <c r="AJ96" s="724"/>
      <c r="AK96" s="724"/>
      <c r="AL96" s="724"/>
      <c r="AM96" s="724"/>
      <c r="AN96" s="724"/>
      <c r="AO96" s="724"/>
      <c r="AP96" s="724"/>
      <c r="AQ96" s="724"/>
      <c r="AR96" s="724"/>
      <c r="AS96" s="724"/>
      <c r="AT96" s="724"/>
      <c r="AU96" s="724"/>
      <c r="AV96" s="609"/>
      <c r="AW96" s="610"/>
      <c r="AX96" s="611"/>
      <c r="AY96" s="807"/>
      <c r="AZ96" s="612"/>
      <c r="BA96" s="613"/>
    </row>
    <row r="97" spans="1:53" s="723" customFormat="1" ht="23.25" customHeight="1">
      <c r="A97" s="712"/>
      <c r="B97" s="716"/>
      <c r="C97" s="752" t="s">
        <v>360</v>
      </c>
      <c r="D97" s="753">
        <v>38</v>
      </c>
      <c r="E97" s="754">
        <v>38</v>
      </c>
      <c r="F97" s="754"/>
      <c r="G97" s="715">
        <v>1</v>
      </c>
      <c r="H97" s="754"/>
      <c r="I97" s="754"/>
      <c r="J97" s="718">
        <v>195792</v>
      </c>
      <c r="K97" s="716"/>
      <c r="L97" s="756">
        <v>169925</v>
      </c>
      <c r="M97" s="719"/>
      <c r="N97" s="718"/>
      <c r="O97" s="718"/>
      <c r="P97" s="718"/>
      <c r="Q97" s="718"/>
      <c r="R97" s="718"/>
      <c r="S97" s="718"/>
      <c r="T97" s="718"/>
      <c r="U97" s="730"/>
      <c r="V97" s="718"/>
      <c r="W97" s="718"/>
      <c r="X97" s="721"/>
      <c r="Y97" s="722"/>
      <c r="AA97" s="609"/>
      <c r="AB97" s="609"/>
      <c r="AC97" s="609"/>
      <c r="AD97" s="724"/>
      <c r="AE97" s="724"/>
      <c r="AF97" s="724"/>
      <c r="AG97" s="724"/>
      <c r="AH97" s="724"/>
      <c r="AI97" s="724"/>
      <c r="AJ97" s="724"/>
      <c r="AK97" s="724"/>
      <c r="AL97" s="724"/>
      <c r="AM97" s="724"/>
      <c r="AN97" s="724"/>
      <c r="AO97" s="724"/>
      <c r="AP97" s="724"/>
      <c r="AQ97" s="724"/>
      <c r="AR97" s="724"/>
      <c r="AS97" s="724"/>
      <c r="AT97" s="724"/>
      <c r="AU97" s="724"/>
      <c r="AV97" s="609"/>
      <c r="AW97" s="610"/>
      <c r="AX97" s="611"/>
      <c r="AY97" s="807"/>
      <c r="AZ97" s="612"/>
      <c r="BA97" s="613"/>
    </row>
    <row r="98" spans="1:53" s="723" customFormat="1" ht="23.25" customHeight="1">
      <c r="A98" s="712"/>
      <c r="B98" s="716"/>
      <c r="C98" s="752" t="s">
        <v>361</v>
      </c>
      <c r="D98" s="753">
        <v>35</v>
      </c>
      <c r="E98" s="757">
        <v>35</v>
      </c>
      <c r="F98" s="754"/>
      <c r="G98" s="715">
        <v>1</v>
      </c>
      <c r="H98" s="754"/>
      <c r="I98" s="754"/>
      <c r="J98" s="718">
        <v>193165</v>
      </c>
      <c r="K98" s="716"/>
      <c r="L98" s="756">
        <v>182151</v>
      </c>
      <c r="M98" s="719"/>
      <c r="N98" s="718"/>
      <c r="O98" s="718"/>
      <c r="P98" s="718"/>
      <c r="Q98" s="718"/>
      <c r="R98" s="718"/>
      <c r="S98" s="718"/>
      <c r="T98" s="718"/>
      <c r="U98" s="730"/>
      <c r="V98" s="718"/>
      <c r="W98" s="718"/>
      <c r="X98" s="721"/>
      <c r="Y98" s="722"/>
      <c r="AA98" s="609"/>
      <c r="AB98" s="609"/>
      <c r="AC98" s="609"/>
      <c r="AD98" s="724"/>
      <c r="AE98" s="724"/>
      <c r="AF98" s="724"/>
      <c r="AG98" s="724"/>
      <c r="AH98" s="724"/>
      <c r="AI98" s="724"/>
      <c r="AJ98" s="724"/>
      <c r="AK98" s="724"/>
      <c r="AL98" s="724"/>
      <c r="AM98" s="724"/>
      <c r="AN98" s="724"/>
      <c r="AO98" s="724"/>
      <c r="AP98" s="724"/>
      <c r="AQ98" s="724"/>
      <c r="AR98" s="724"/>
      <c r="AS98" s="724"/>
      <c r="AT98" s="724"/>
      <c r="AU98" s="724"/>
      <c r="AV98" s="609"/>
      <c r="AW98" s="610"/>
      <c r="AX98" s="611"/>
      <c r="AY98" s="807"/>
      <c r="AZ98" s="612"/>
      <c r="BA98" s="613"/>
    </row>
    <row r="99" spans="1:53" s="723" customFormat="1" ht="23.25" customHeight="1">
      <c r="A99" s="712"/>
      <c r="B99" s="716"/>
      <c r="C99" s="752" t="s">
        <v>362</v>
      </c>
      <c r="D99" s="753">
        <v>37</v>
      </c>
      <c r="E99" s="757">
        <v>37</v>
      </c>
      <c r="F99" s="754"/>
      <c r="G99" s="715">
        <v>1</v>
      </c>
      <c r="H99" s="754"/>
      <c r="I99" s="754"/>
      <c r="J99" s="718">
        <v>161126</v>
      </c>
      <c r="K99" s="716"/>
      <c r="L99" s="756">
        <v>157412</v>
      </c>
      <c r="M99" s="719"/>
      <c r="N99" s="718"/>
      <c r="O99" s="718"/>
      <c r="P99" s="718"/>
      <c r="Q99" s="718"/>
      <c r="R99" s="718"/>
      <c r="S99" s="718"/>
      <c r="T99" s="718"/>
      <c r="U99" s="730"/>
      <c r="V99" s="718"/>
      <c r="W99" s="718"/>
      <c r="X99" s="721"/>
      <c r="Y99" s="722"/>
      <c r="AA99" s="609"/>
      <c r="AB99" s="609"/>
      <c r="AC99" s="609"/>
      <c r="AD99" s="724"/>
      <c r="AE99" s="724"/>
      <c r="AF99" s="724"/>
      <c r="AG99" s="724"/>
      <c r="AH99" s="724"/>
      <c r="AI99" s="724"/>
      <c r="AJ99" s="724"/>
      <c r="AK99" s="724"/>
      <c r="AL99" s="724"/>
      <c r="AM99" s="724"/>
      <c r="AN99" s="724"/>
      <c r="AO99" s="724"/>
      <c r="AP99" s="724"/>
      <c r="AQ99" s="724"/>
      <c r="AR99" s="724"/>
      <c r="AS99" s="724"/>
      <c r="AT99" s="724"/>
      <c r="AU99" s="724"/>
      <c r="AV99" s="609"/>
      <c r="AW99" s="610"/>
      <c r="AX99" s="611"/>
      <c r="AY99" s="807"/>
      <c r="AZ99" s="612"/>
      <c r="BA99" s="613"/>
    </row>
    <row r="100" spans="1:53" s="723" customFormat="1" ht="23.25" customHeight="1">
      <c r="A100" s="712"/>
      <c r="B100" s="716"/>
      <c r="C100" s="752" t="s">
        <v>363</v>
      </c>
      <c r="D100" s="753">
        <v>30</v>
      </c>
      <c r="E100" s="757">
        <v>30</v>
      </c>
      <c r="F100" s="754"/>
      <c r="G100" s="715">
        <v>1</v>
      </c>
      <c r="H100" s="754"/>
      <c r="I100" s="754"/>
      <c r="J100" s="718">
        <v>266153</v>
      </c>
      <c r="K100" s="716"/>
      <c r="L100" s="756">
        <v>212055</v>
      </c>
      <c r="M100" s="719"/>
      <c r="N100" s="718"/>
      <c r="O100" s="718"/>
      <c r="P100" s="718"/>
      <c r="Q100" s="718"/>
      <c r="R100" s="718"/>
      <c r="S100" s="718"/>
      <c r="T100" s="718"/>
      <c r="U100" s="730"/>
      <c r="V100" s="718"/>
      <c r="W100" s="718"/>
      <c r="X100" s="721"/>
      <c r="Y100" s="722"/>
      <c r="AA100" s="609"/>
      <c r="AB100" s="609"/>
      <c r="AC100" s="609"/>
      <c r="AD100" s="724"/>
      <c r="AE100" s="724"/>
      <c r="AF100" s="724"/>
      <c r="AG100" s="724"/>
      <c r="AH100" s="724"/>
      <c r="AI100" s="724"/>
      <c r="AJ100" s="724"/>
      <c r="AK100" s="724"/>
      <c r="AL100" s="724"/>
      <c r="AM100" s="724"/>
      <c r="AN100" s="724"/>
      <c r="AO100" s="724"/>
      <c r="AP100" s="724"/>
      <c r="AQ100" s="724"/>
      <c r="AR100" s="724"/>
      <c r="AS100" s="724"/>
      <c r="AT100" s="724"/>
      <c r="AU100" s="724"/>
      <c r="AV100" s="609"/>
      <c r="AW100" s="610"/>
      <c r="AX100" s="611"/>
      <c r="AY100" s="807"/>
      <c r="AZ100" s="612"/>
      <c r="BA100" s="613"/>
    </row>
    <row r="101" spans="1:53" s="598" customFormat="1" ht="24.75" customHeight="1">
      <c r="A101" s="589">
        <v>11</v>
      </c>
      <c r="B101" s="1945" t="s">
        <v>364</v>
      </c>
      <c r="C101" s="1945"/>
      <c r="D101" s="594"/>
      <c r="E101" s="595">
        <f>SUM(E102:E106)</f>
        <v>85</v>
      </c>
      <c r="F101" s="595">
        <f>SUM(F102:F106)</f>
        <v>5</v>
      </c>
      <c r="G101" s="596">
        <f>SUM(G102:G107)</f>
        <v>6</v>
      </c>
      <c r="H101" s="595">
        <v>6</v>
      </c>
      <c r="I101" s="595"/>
      <c r="J101" s="595">
        <f t="shared" ref="J101:Q101" si="52">SUM(J102:J106)</f>
        <v>692637</v>
      </c>
      <c r="K101" s="595">
        <f t="shared" si="52"/>
        <v>372956</v>
      </c>
      <c r="L101" s="595">
        <f t="shared" si="52"/>
        <v>415735.1</v>
      </c>
      <c r="M101" s="595">
        <f t="shared" si="52"/>
        <v>69263.700000000012</v>
      </c>
      <c r="N101" s="595">
        <f t="shared" si="52"/>
        <v>623373.30000000005</v>
      </c>
      <c r="O101" s="595">
        <f t="shared" si="52"/>
        <v>553510</v>
      </c>
      <c r="P101" s="595">
        <f t="shared" si="52"/>
        <v>0</v>
      </c>
      <c r="Q101" s="595">
        <f t="shared" si="52"/>
        <v>69863.299999999988</v>
      </c>
      <c r="R101" s="595"/>
      <c r="S101" s="595">
        <f>SUM(S102:S106)</f>
        <v>553510</v>
      </c>
      <c r="T101" s="595">
        <f>SUM(T102:T106)</f>
        <v>55353</v>
      </c>
      <c r="U101" s="595">
        <f>SUM(U102:U106)</f>
        <v>498157</v>
      </c>
      <c r="V101" s="595">
        <f>SUM(V102:V106)</f>
        <v>0</v>
      </c>
      <c r="W101" s="597">
        <v>0.95299999999999996</v>
      </c>
      <c r="X101" s="607">
        <v>0</v>
      </c>
      <c r="Y101" s="595">
        <f>SUM(Y102:Y106)</f>
        <v>4155822</v>
      </c>
      <c r="AA101" s="609"/>
      <c r="AB101" s="609"/>
      <c r="AC101" s="609"/>
      <c r="AD101" s="609"/>
      <c r="AE101" s="609"/>
      <c r="AF101" s="609"/>
      <c r="AG101" s="609"/>
      <c r="AH101" s="609"/>
      <c r="AI101" s="609"/>
      <c r="AJ101" s="609"/>
      <c r="AK101" s="609"/>
      <c r="AL101" s="609"/>
      <c r="AM101" s="609"/>
      <c r="AN101" s="609"/>
      <c r="AO101" s="609"/>
      <c r="AP101" s="609"/>
      <c r="AQ101" s="609"/>
      <c r="AR101" s="609"/>
      <c r="AS101" s="609"/>
      <c r="AT101" s="609"/>
      <c r="AU101" s="609"/>
      <c r="AV101" s="609"/>
      <c r="AW101" s="610"/>
      <c r="AX101" s="611"/>
      <c r="AY101" s="806"/>
      <c r="AZ101" s="612"/>
      <c r="BA101" s="613"/>
    </row>
    <row r="102" spans="1:53" ht="23.25" customHeight="1">
      <c r="A102" s="599"/>
      <c r="B102" s="445">
        <v>1</v>
      </c>
      <c r="C102" s="445" t="s">
        <v>365</v>
      </c>
      <c r="D102" s="600">
        <v>18</v>
      </c>
      <c r="E102" s="601">
        <v>18</v>
      </c>
      <c r="F102" s="601">
        <v>1</v>
      </c>
      <c r="G102" s="602">
        <v>1</v>
      </c>
      <c r="H102" s="601"/>
      <c r="I102" s="601"/>
      <c r="J102" s="621">
        <v>135539</v>
      </c>
      <c r="K102" s="604">
        <v>77625</v>
      </c>
      <c r="L102" s="604">
        <v>77625</v>
      </c>
      <c r="M102" s="605">
        <f>J102*10%</f>
        <v>13553.900000000001</v>
      </c>
      <c r="N102" s="604">
        <f>J102-M102</f>
        <v>121985.1</v>
      </c>
      <c r="O102" s="604">
        <v>104897</v>
      </c>
      <c r="P102" s="604">
        <f>O102-T102-U102</f>
        <v>0</v>
      </c>
      <c r="Q102" s="604">
        <f>N102-O102</f>
        <v>17088.100000000006</v>
      </c>
      <c r="R102" s="604"/>
      <c r="S102" s="644">
        <v>104897</v>
      </c>
      <c r="T102" s="604">
        <v>10490</v>
      </c>
      <c r="U102" s="621">
        <f>S102-T102</f>
        <v>94407</v>
      </c>
      <c r="V102" s="759">
        <f>S102-T102-U102</f>
        <v>0</v>
      </c>
      <c r="W102" s="604"/>
      <c r="X102" s="607">
        <v>0</v>
      </c>
      <c r="Y102" s="608">
        <v>813234</v>
      </c>
      <c r="AA102" s="609">
        <f>D102*'Don gia XCSDL DC'!$K$8</f>
        <v>8302.6813458170764</v>
      </c>
      <c r="AB102" s="609">
        <f>D102*'Don gia XCSDL DC'!$K$9</f>
        <v>7921.7702958170776</v>
      </c>
      <c r="AC102" s="609" t="e">
        <f>D102*'Don gia XCSDL DC'!#REF!</f>
        <v>#REF!</v>
      </c>
      <c r="AD102" s="609">
        <f>D102*'Don gia XCSDL DC'!$K$10</f>
        <v>31898.803569052019</v>
      </c>
      <c r="AE102" s="609">
        <f>J102*'Don gia XCSDL DC'!$K$11</f>
        <v>0</v>
      </c>
      <c r="AF102" s="609" t="e">
        <f>S102*'Don gia XCSDL DC'!#REF!</f>
        <v>#REF!</v>
      </c>
      <c r="AG102" s="609" t="e">
        <f>D102*'Don gia XCSDL DC'!#REF!</f>
        <v>#REF!</v>
      </c>
      <c r="AH102" s="609" t="e">
        <f>J102*'Don gia XCSDL DC'!#REF!</f>
        <v>#REF!</v>
      </c>
      <c r="AI102" s="609" t="e">
        <f>D102*'Don gia XCSDL DC'!#REF!</f>
        <v>#REF!</v>
      </c>
      <c r="AJ102" s="609">
        <f>S102*2*'Don gia XCSDL DC'!$K$24</f>
        <v>1793862045.5223331</v>
      </c>
      <c r="AK102" s="609" t="e">
        <f>S102*3*'Don gia XCSDL DC'!#REF!</f>
        <v>#REF!</v>
      </c>
      <c r="AL102" s="609" t="e">
        <f>(S102*2+S102*3)*('Don gia XCSDL DC'!#REF!+'Don gia XCSDL DC'!#REF!+'Don gia XCSDL DC'!#REF!)</f>
        <v>#REF!</v>
      </c>
      <c r="AM102" s="609" t="e">
        <f>O102*'Don gia XCSDL DC'!#REF!*50%</f>
        <v>#REF!</v>
      </c>
      <c r="AN102" s="609" t="e">
        <f>T102*'Don gia XCSDL DC'!#REF!*$AN$8</f>
        <v>#REF!</v>
      </c>
      <c r="AO102" s="609" t="e">
        <f>U102*'Don gia XCSDL DC'!#REF!*1</f>
        <v>#REF!</v>
      </c>
      <c r="AP102" s="609" t="e">
        <f>P102*X102*'Don gia XCSDL DC'!#REF!</f>
        <v>#REF!</v>
      </c>
      <c r="AQ102" s="609" t="e">
        <f>Q102*$AQ$8*'Don gia XCSDL DC'!#REF!</f>
        <v>#REF!</v>
      </c>
      <c r="AR102" s="609" t="e">
        <f>M102*$AR$8*'Don gia XCSDL DC'!#REF!</f>
        <v>#REF!</v>
      </c>
      <c r="AS102" s="609" t="e">
        <f>J102*'Don gia XCSDL DC'!#REF!</f>
        <v>#REF!</v>
      </c>
      <c r="AT102" s="609">
        <f>D102*'Don gia XCSDL DC'!$K$26</f>
        <v>0</v>
      </c>
      <c r="AU102" s="609">
        <f>J102*'Don gia XCSDL DC'!$K$34</f>
        <v>0</v>
      </c>
      <c r="AV102" s="609">
        <f>O102*'Don gia XCSDL DC'!$K$37</f>
        <v>0</v>
      </c>
      <c r="AW102" s="610" t="e">
        <f t="shared" si="49"/>
        <v>#REF!</v>
      </c>
      <c r="AX102" s="611" t="e">
        <f t="shared" si="50"/>
        <v>#REF!</v>
      </c>
      <c r="AY102" s="806" t="e">
        <f t="shared" si="47"/>
        <v>#REF!</v>
      </c>
      <c r="AZ102" s="612" t="e">
        <f>D102*'Don gia XCSDL DC'!#REF!</f>
        <v>#REF!</v>
      </c>
      <c r="BA102" s="613" t="e">
        <f>(Q102+M102)*'Don gia XCSDL DC'!#REF!</f>
        <v>#REF!</v>
      </c>
    </row>
    <row r="103" spans="1:53" ht="23.25" customHeight="1">
      <c r="A103" s="599"/>
      <c r="B103" s="445">
        <v>2</v>
      </c>
      <c r="C103" s="445" t="s">
        <v>366</v>
      </c>
      <c r="D103" s="600">
        <v>17</v>
      </c>
      <c r="E103" s="629">
        <v>19</v>
      </c>
      <c r="F103" s="601">
        <v>1</v>
      </c>
      <c r="G103" s="602">
        <v>1</v>
      </c>
      <c r="H103" s="601"/>
      <c r="I103" s="601"/>
      <c r="J103" s="621">
        <v>152605</v>
      </c>
      <c r="K103" s="604">
        <v>98460</v>
      </c>
      <c r="L103" s="604">
        <v>98460</v>
      </c>
      <c r="M103" s="605">
        <f>J103*10%</f>
        <v>15260.5</v>
      </c>
      <c r="N103" s="604">
        <f>J103-M103</f>
        <v>137344.5</v>
      </c>
      <c r="O103" s="604">
        <v>120915</v>
      </c>
      <c r="P103" s="604">
        <f>O103-T103-U103</f>
        <v>0</v>
      </c>
      <c r="Q103" s="604">
        <f>N103-O103</f>
        <v>16429.5</v>
      </c>
      <c r="R103" s="604"/>
      <c r="S103" s="604">
        <v>120915</v>
      </c>
      <c r="T103" s="604">
        <v>12092</v>
      </c>
      <c r="U103" s="621">
        <f>S103-T103</f>
        <v>108823</v>
      </c>
      <c r="V103" s="759">
        <f>S103-T103-U103</f>
        <v>0</v>
      </c>
      <c r="W103" s="604"/>
      <c r="X103" s="607">
        <v>0</v>
      </c>
      <c r="Y103" s="608">
        <v>915630</v>
      </c>
      <c r="AA103" s="609">
        <f>D103*'Don gia XCSDL DC'!$K$8</f>
        <v>7841.4212710494612</v>
      </c>
      <c r="AB103" s="609">
        <f>D103*'Don gia XCSDL DC'!$K$9</f>
        <v>7481.6719460494623</v>
      </c>
      <c r="AC103" s="609" t="e">
        <f>D103*'Don gia XCSDL DC'!#REF!</f>
        <v>#REF!</v>
      </c>
      <c r="AD103" s="609">
        <f>D103*'Don gia XCSDL DC'!$K$10</f>
        <v>30126.647815215798</v>
      </c>
      <c r="AE103" s="609">
        <f>J103*'Don gia XCSDL DC'!$K$11</f>
        <v>0</v>
      </c>
      <c r="AF103" s="609" t="e">
        <f>S103*'Don gia XCSDL DC'!#REF!</f>
        <v>#REF!</v>
      </c>
      <c r="AG103" s="609" t="e">
        <f>D103*'Don gia XCSDL DC'!#REF!</f>
        <v>#REF!</v>
      </c>
      <c r="AH103" s="609" t="e">
        <f>J103*'Don gia XCSDL DC'!#REF!</f>
        <v>#REF!</v>
      </c>
      <c r="AI103" s="609" t="e">
        <f>D103*'Don gia XCSDL DC'!#REF!</f>
        <v>#REF!</v>
      </c>
      <c r="AJ103" s="609">
        <f>S103*2*'Don gia XCSDL DC'!$K$24</f>
        <v>2067788680.6518099</v>
      </c>
      <c r="AK103" s="609" t="e">
        <f>S103*3*'Don gia XCSDL DC'!#REF!</f>
        <v>#REF!</v>
      </c>
      <c r="AL103" s="609" t="e">
        <f>(S103*2+S103*3)*('Don gia XCSDL DC'!#REF!+'Don gia XCSDL DC'!#REF!+'Don gia XCSDL DC'!#REF!)</f>
        <v>#REF!</v>
      </c>
      <c r="AM103" s="609" t="e">
        <f>O103*'Don gia XCSDL DC'!#REF!*50%</f>
        <v>#REF!</v>
      </c>
      <c r="AN103" s="609" t="e">
        <f>T103*'Don gia XCSDL DC'!#REF!*$AN$8</f>
        <v>#REF!</v>
      </c>
      <c r="AO103" s="609" t="e">
        <f>U103*'Don gia XCSDL DC'!#REF!*1</f>
        <v>#REF!</v>
      </c>
      <c r="AP103" s="609" t="e">
        <f>P103*X103*'Don gia XCSDL DC'!#REF!</f>
        <v>#REF!</v>
      </c>
      <c r="AQ103" s="609" t="e">
        <f>Q103*$AQ$8*'Don gia XCSDL DC'!#REF!</f>
        <v>#REF!</v>
      </c>
      <c r="AR103" s="609" t="e">
        <f>M103*$AR$8*'Don gia XCSDL DC'!#REF!</f>
        <v>#REF!</v>
      </c>
      <c r="AS103" s="609" t="e">
        <f>J103*'Don gia XCSDL DC'!#REF!</f>
        <v>#REF!</v>
      </c>
      <c r="AT103" s="609">
        <f>D103*'Don gia XCSDL DC'!$K$26</f>
        <v>0</v>
      </c>
      <c r="AU103" s="609">
        <f>J103*'Don gia XCSDL DC'!$K$34</f>
        <v>0</v>
      </c>
      <c r="AV103" s="609">
        <f>O103*'Don gia XCSDL DC'!$K$37</f>
        <v>0</v>
      </c>
      <c r="AW103" s="610" t="e">
        <f t="shared" si="49"/>
        <v>#REF!</v>
      </c>
      <c r="AX103" s="611" t="e">
        <f t="shared" si="50"/>
        <v>#REF!</v>
      </c>
      <c r="AY103" s="806" t="e">
        <f t="shared" si="47"/>
        <v>#REF!</v>
      </c>
      <c r="AZ103" s="612" t="e">
        <f>D103*'Don gia XCSDL DC'!#REF!</f>
        <v>#REF!</v>
      </c>
      <c r="BA103" s="613" t="e">
        <f>(Q103+M103)*'Don gia XCSDL DC'!#REF!</f>
        <v>#REF!</v>
      </c>
    </row>
    <row r="104" spans="1:53" ht="23.25" customHeight="1">
      <c r="A104" s="599"/>
      <c r="B104" s="445">
        <v>3</v>
      </c>
      <c r="C104" s="445" t="s">
        <v>367</v>
      </c>
      <c r="D104" s="600">
        <v>18</v>
      </c>
      <c r="E104" s="601">
        <v>18</v>
      </c>
      <c r="F104" s="601">
        <v>1</v>
      </c>
      <c r="G104" s="602">
        <v>1</v>
      </c>
      <c r="H104" s="601"/>
      <c r="I104" s="601"/>
      <c r="J104" s="621">
        <v>149137</v>
      </c>
      <c r="K104" s="604">
        <v>81435</v>
      </c>
      <c r="L104" s="604">
        <v>81435</v>
      </c>
      <c r="M104" s="605">
        <f>J104*10%</f>
        <v>14913.7</v>
      </c>
      <c r="N104" s="604">
        <f>J104-M104</f>
        <v>134223.29999999999</v>
      </c>
      <c r="O104" s="604">
        <v>123433</v>
      </c>
      <c r="P104" s="604">
        <f>O104-T104-U104</f>
        <v>0</v>
      </c>
      <c r="Q104" s="604">
        <f>N104-O104</f>
        <v>10790.299999999988</v>
      </c>
      <c r="R104" s="604"/>
      <c r="S104" s="604">
        <v>123433</v>
      </c>
      <c r="T104" s="604">
        <v>12344</v>
      </c>
      <c r="U104" s="621">
        <f>S104-T104</f>
        <v>111089</v>
      </c>
      <c r="V104" s="759">
        <f>S104-T104-U104</f>
        <v>0</v>
      </c>
      <c r="W104" s="604"/>
      <c r="X104" s="607">
        <v>0</v>
      </c>
      <c r="Y104" s="608">
        <v>894822</v>
      </c>
      <c r="AA104" s="609">
        <f>D104*'Don gia XCSDL DC'!$K$8</f>
        <v>8302.6813458170764</v>
      </c>
      <c r="AB104" s="609">
        <f>D104*'Don gia XCSDL DC'!$K$9</f>
        <v>7921.7702958170776</v>
      </c>
      <c r="AC104" s="609" t="e">
        <f>D104*'Don gia XCSDL DC'!#REF!</f>
        <v>#REF!</v>
      </c>
      <c r="AD104" s="609">
        <f>D104*'Don gia XCSDL DC'!$K$10</f>
        <v>31898.803569052019</v>
      </c>
      <c r="AE104" s="609">
        <f>J104*'Don gia XCSDL DC'!$K$11</f>
        <v>0</v>
      </c>
      <c r="AF104" s="609" t="e">
        <f>S104*'Don gia XCSDL DC'!#REF!</f>
        <v>#REF!</v>
      </c>
      <c r="AG104" s="609" t="e">
        <f>D104*'Don gia XCSDL DC'!#REF!</f>
        <v>#REF!</v>
      </c>
      <c r="AH104" s="609" t="e">
        <f>J104*'Don gia XCSDL DC'!#REF!</f>
        <v>#REF!</v>
      </c>
      <c r="AI104" s="609" t="e">
        <f>D104*'Don gia XCSDL DC'!#REF!</f>
        <v>#REF!</v>
      </c>
      <c r="AJ104" s="609">
        <f>S104*2*'Don gia XCSDL DC'!$K$24</f>
        <v>2110849441.4993579</v>
      </c>
      <c r="AK104" s="609" t="e">
        <f>S104*3*'Don gia XCSDL DC'!#REF!</f>
        <v>#REF!</v>
      </c>
      <c r="AL104" s="609" t="e">
        <f>(S104*2+S104*3)*('Don gia XCSDL DC'!#REF!+'Don gia XCSDL DC'!#REF!+'Don gia XCSDL DC'!#REF!)</f>
        <v>#REF!</v>
      </c>
      <c r="AM104" s="609" t="e">
        <f>O104*'Don gia XCSDL DC'!#REF!*50%</f>
        <v>#REF!</v>
      </c>
      <c r="AN104" s="609" t="e">
        <f>T104*'Don gia XCSDL DC'!#REF!*$AN$8</f>
        <v>#REF!</v>
      </c>
      <c r="AO104" s="609" t="e">
        <f>U104*'Don gia XCSDL DC'!#REF!*1</f>
        <v>#REF!</v>
      </c>
      <c r="AP104" s="609" t="e">
        <f>P104*X104*'Don gia XCSDL DC'!#REF!</f>
        <v>#REF!</v>
      </c>
      <c r="AQ104" s="609" t="e">
        <f>Q104*$AQ$8*'Don gia XCSDL DC'!#REF!</f>
        <v>#REF!</v>
      </c>
      <c r="AR104" s="609" t="e">
        <f>M104*$AR$8*'Don gia XCSDL DC'!#REF!</f>
        <v>#REF!</v>
      </c>
      <c r="AS104" s="609" t="e">
        <f>J104*'Don gia XCSDL DC'!#REF!</f>
        <v>#REF!</v>
      </c>
      <c r="AT104" s="609">
        <f>D104*'Don gia XCSDL DC'!$K$26</f>
        <v>0</v>
      </c>
      <c r="AU104" s="609">
        <f>J104*'Don gia XCSDL DC'!$K$34</f>
        <v>0</v>
      </c>
      <c r="AV104" s="609">
        <f>O104*'Don gia XCSDL DC'!$K$37</f>
        <v>0</v>
      </c>
      <c r="AW104" s="610" t="e">
        <f t="shared" si="49"/>
        <v>#REF!</v>
      </c>
      <c r="AX104" s="611" t="e">
        <f t="shared" si="50"/>
        <v>#REF!</v>
      </c>
      <c r="AY104" s="806" t="e">
        <f t="shared" si="47"/>
        <v>#REF!</v>
      </c>
      <c r="AZ104" s="612" t="e">
        <f>D104*'Don gia XCSDL DC'!#REF!</f>
        <v>#REF!</v>
      </c>
      <c r="BA104" s="613" t="e">
        <f>(Q104+M104)*'Don gia XCSDL DC'!#REF!</f>
        <v>#REF!</v>
      </c>
    </row>
    <row r="105" spans="1:53" ht="23.25" customHeight="1">
      <c r="A105" s="599"/>
      <c r="B105" s="445">
        <v>4</v>
      </c>
      <c r="C105" s="445" t="s">
        <v>368</v>
      </c>
      <c r="D105" s="600">
        <v>19</v>
      </c>
      <c r="E105" s="629">
        <v>21</v>
      </c>
      <c r="F105" s="601">
        <v>1</v>
      </c>
      <c r="G105" s="602">
        <v>1</v>
      </c>
      <c r="H105" s="601"/>
      <c r="I105" s="601"/>
      <c r="J105" s="621">
        <v>189325</v>
      </c>
      <c r="K105" s="604">
        <v>115436</v>
      </c>
      <c r="L105" s="604">
        <v>115436</v>
      </c>
      <c r="M105" s="605">
        <f>J105*10%</f>
        <v>18932.5</v>
      </c>
      <c r="N105" s="604">
        <f>J105-M105</f>
        <v>170392.5</v>
      </c>
      <c r="O105" s="604">
        <v>152857</v>
      </c>
      <c r="P105" s="604">
        <f>O105-T105-U105</f>
        <v>0</v>
      </c>
      <c r="Q105" s="604">
        <f>N105-O105</f>
        <v>17535.5</v>
      </c>
      <c r="R105" s="604"/>
      <c r="S105" s="604">
        <v>152857</v>
      </c>
      <c r="T105" s="604">
        <v>15286</v>
      </c>
      <c r="U105" s="621">
        <f>S105-T105</f>
        <v>137571</v>
      </c>
      <c r="V105" s="759">
        <f>S105-T105-U105</f>
        <v>0</v>
      </c>
      <c r="W105" s="604"/>
      <c r="X105" s="607">
        <v>0</v>
      </c>
      <c r="Y105" s="608">
        <v>1135950</v>
      </c>
      <c r="AA105" s="609">
        <f>D105*'Don gia XCSDL DC'!$K$8</f>
        <v>8763.9414205846915</v>
      </c>
      <c r="AB105" s="609">
        <f>D105*'Don gia XCSDL DC'!$K$9</f>
        <v>8361.8686455846928</v>
      </c>
      <c r="AC105" s="609" t="e">
        <f>D105*'Don gia XCSDL DC'!#REF!</f>
        <v>#REF!</v>
      </c>
      <c r="AD105" s="609">
        <f>D105*'Don gia XCSDL DC'!$K$10</f>
        <v>33670.959322888244</v>
      </c>
      <c r="AE105" s="609">
        <f>J105*'Don gia XCSDL DC'!$K$11</f>
        <v>0</v>
      </c>
      <c r="AF105" s="609" t="e">
        <f>S105*'Don gia XCSDL DC'!#REF!</f>
        <v>#REF!</v>
      </c>
      <c r="AG105" s="609" t="e">
        <f>D105*'Don gia XCSDL DC'!#REF!</f>
        <v>#REF!</v>
      </c>
      <c r="AH105" s="609" t="e">
        <f>J105*'Don gia XCSDL DC'!#REF!</f>
        <v>#REF!</v>
      </c>
      <c r="AI105" s="609" t="e">
        <f>D105*'Don gia XCSDL DC'!#REF!</f>
        <v>#REF!</v>
      </c>
      <c r="AJ105" s="609">
        <f>S105*2*'Don gia XCSDL DC'!$K$24</f>
        <v>2614034440.3787265</v>
      </c>
      <c r="AK105" s="609" t="e">
        <f>S105*3*'Don gia XCSDL DC'!#REF!</f>
        <v>#REF!</v>
      </c>
      <c r="AL105" s="609" t="e">
        <f>(S105*2+S105*3)*('Don gia XCSDL DC'!#REF!+'Don gia XCSDL DC'!#REF!+'Don gia XCSDL DC'!#REF!)</f>
        <v>#REF!</v>
      </c>
      <c r="AM105" s="609" t="e">
        <f>O105*'Don gia XCSDL DC'!#REF!*50%</f>
        <v>#REF!</v>
      </c>
      <c r="AN105" s="609" t="e">
        <f>T105*'Don gia XCSDL DC'!#REF!*$AN$8</f>
        <v>#REF!</v>
      </c>
      <c r="AO105" s="609" t="e">
        <f>U105*'Don gia XCSDL DC'!#REF!*1</f>
        <v>#REF!</v>
      </c>
      <c r="AP105" s="609" t="e">
        <f>P105*X105*'Don gia XCSDL DC'!#REF!</f>
        <v>#REF!</v>
      </c>
      <c r="AQ105" s="609" t="e">
        <f>Q105*$AQ$8*'Don gia XCSDL DC'!#REF!</f>
        <v>#REF!</v>
      </c>
      <c r="AR105" s="609" t="e">
        <f>M105*$AR$8*'Don gia XCSDL DC'!#REF!</f>
        <v>#REF!</v>
      </c>
      <c r="AS105" s="609" t="e">
        <f>J105*'Don gia XCSDL DC'!#REF!</f>
        <v>#REF!</v>
      </c>
      <c r="AT105" s="609">
        <f>D105*'Don gia XCSDL DC'!$K$26</f>
        <v>0</v>
      </c>
      <c r="AU105" s="609">
        <f>J105*'Don gia XCSDL DC'!$K$34</f>
        <v>0</v>
      </c>
      <c r="AV105" s="609">
        <f>O105*'Don gia XCSDL DC'!$K$37</f>
        <v>0</v>
      </c>
      <c r="AW105" s="610" t="e">
        <f t="shared" si="49"/>
        <v>#REF!</v>
      </c>
      <c r="AX105" s="611" t="e">
        <f t="shared" si="50"/>
        <v>#REF!</v>
      </c>
      <c r="AY105" s="806" t="e">
        <f t="shared" si="47"/>
        <v>#REF!</v>
      </c>
      <c r="AZ105" s="612" t="e">
        <f>D105*'Don gia XCSDL DC'!#REF!</f>
        <v>#REF!</v>
      </c>
      <c r="BA105" s="613" t="e">
        <f>(Q105+M105)*'Don gia XCSDL DC'!#REF!</f>
        <v>#REF!</v>
      </c>
    </row>
    <row r="106" spans="1:53" ht="23.25" customHeight="1">
      <c r="A106" s="599"/>
      <c r="B106" s="445">
        <v>5</v>
      </c>
      <c r="C106" s="445" t="s">
        <v>369</v>
      </c>
      <c r="D106" s="600">
        <v>21</v>
      </c>
      <c r="E106" s="629">
        <v>9</v>
      </c>
      <c r="F106" s="601">
        <v>1</v>
      </c>
      <c r="G106" s="602">
        <v>1</v>
      </c>
      <c r="H106" s="601"/>
      <c r="I106" s="601"/>
      <c r="J106" s="621">
        <v>66031</v>
      </c>
      <c r="K106" s="604"/>
      <c r="L106" s="604">
        <f>32907*1.3</f>
        <v>42779.1</v>
      </c>
      <c r="M106" s="605">
        <f>J106*10%</f>
        <v>6603.1</v>
      </c>
      <c r="N106" s="604">
        <f>J106-M106</f>
        <v>59427.9</v>
      </c>
      <c r="O106" s="604">
        <v>51408</v>
      </c>
      <c r="P106" s="604">
        <f>O106-T106-U106</f>
        <v>0</v>
      </c>
      <c r="Q106" s="604">
        <f>N106-O106</f>
        <v>8019.9000000000015</v>
      </c>
      <c r="R106" s="604"/>
      <c r="S106" s="604">
        <v>51408</v>
      </c>
      <c r="T106" s="604">
        <v>5141</v>
      </c>
      <c r="U106" s="621">
        <f>S106-T106</f>
        <v>46267</v>
      </c>
      <c r="V106" s="759">
        <f>S106-T106-U106</f>
        <v>0</v>
      </c>
      <c r="W106" s="604"/>
      <c r="X106" s="607">
        <v>0</v>
      </c>
      <c r="Y106" s="608">
        <v>396186</v>
      </c>
      <c r="AA106" s="609">
        <f>D106*'Don gia XCSDL DC'!$K$8</f>
        <v>9686.4615701199236</v>
      </c>
      <c r="AB106" s="609">
        <f>D106*'Don gia XCSDL DC'!$K$9</f>
        <v>9242.065345119925</v>
      </c>
      <c r="AC106" s="609" t="e">
        <f>D106*'Don gia XCSDL DC'!#REF!</f>
        <v>#REF!</v>
      </c>
      <c r="AD106" s="609">
        <f>D106*'Don gia XCSDL DC'!$K$10</f>
        <v>37215.270830560687</v>
      </c>
      <c r="AE106" s="609">
        <f>J106*'Don gia XCSDL DC'!$K$11</f>
        <v>0</v>
      </c>
      <c r="AF106" s="609" t="e">
        <f>S106*'Don gia XCSDL DC'!#REF!</f>
        <v>#REF!</v>
      </c>
      <c r="AG106" s="609" t="e">
        <f>D106*'Don gia XCSDL DC'!#REF!</f>
        <v>#REF!</v>
      </c>
      <c r="AH106" s="609" t="e">
        <f>J106*'Don gia XCSDL DC'!#REF!</f>
        <v>#REF!</v>
      </c>
      <c r="AI106" s="609" t="e">
        <f>D106*'Don gia XCSDL DC'!#REF!</f>
        <v>#REF!</v>
      </c>
      <c r="AJ106" s="609">
        <f>S106*2*'Don gia XCSDL DC'!$K$24</f>
        <v>879137249.2655853</v>
      </c>
      <c r="AK106" s="609" t="e">
        <f>S106*3*'Don gia XCSDL DC'!#REF!</f>
        <v>#REF!</v>
      </c>
      <c r="AL106" s="609" t="e">
        <f>(S106*2+S106*3)*('Don gia XCSDL DC'!#REF!+'Don gia XCSDL DC'!#REF!+'Don gia XCSDL DC'!#REF!)</f>
        <v>#REF!</v>
      </c>
      <c r="AM106" s="609" t="e">
        <f>O106*'Don gia XCSDL DC'!#REF!*50%</f>
        <v>#REF!</v>
      </c>
      <c r="AN106" s="609" t="e">
        <f>T106*'Don gia XCSDL DC'!#REF!*$AN$8</f>
        <v>#REF!</v>
      </c>
      <c r="AO106" s="609" t="e">
        <f>U106*'Don gia XCSDL DC'!#REF!*1</f>
        <v>#REF!</v>
      </c>
      <c r="AP106" s="609" t="e">
        <f>P106*X106*'Don gia XCSDL DC'!#REF!</f>
        <v>#REF!</v>
      </c>
      <c r="AQ106" s="609" t="e">
        <f>Q106*$AQ$8*'Don gia XCSDL DC'!#REF!</f>
        <v>#REF!</v>
      </c>
      <c r="AR106" s="609" t="e">
        <f>M106*$AR$8*'Don gia XCSDL DC'!#REF!</f>
        <v>#REF!</v>
      </c>
      <c r="AS106" s="609" t="e">
        <f>J106*'Don gia XCSDL DC'!#REF!</f>
        <v>#REF!</v>
      </c>
      <c r="AT106" s="609">
        <f>D106*'Don gia XCSDL DC'!$K$26</f>
        <v>0</v>
      </c>
      <c r="AU106" s="609">
        <f>J106*'Don gia XCSDL DC'!$K$34</f>
        <v>0</v>
      </c>
      <c r="AV106" s="609">
        <f>O106*'Don gia XCSDL DC'!$K$37</f>
        <v>0</v>
      </c>
      <c r="AW106" s="610" t="e">
        <f t="shared" si="49"/>
        <v>#REF!</v>
      </c>
      <c r="AX106" s="611" t="e">
        <f t="shared" si="50"/>
        <v>#REF!</v>
      </c>
      <c r="AY106" s="806" t="e">
        <f t="shared" si="47"/>
        <v>#REF!</v>
      </c>
      <c r="AZ106" s="612" t="e">
        <f>D106*'Don gia XCSDL DC'!#REF!</f>
        <v>#REF!</v>
      </c>
      <c r="BA106" s="613" t="e">
        <f>(Q106+M106)*'Don gia XCSDL DC'!#REF!</f>
        <v>#REF!</v>
      </c>
    </row>
    <row r="107" spans="1:53" s="723" customFormat="1" ht="23.25" customHeight="1">
      <c r="A107" s="712"/>
      <c r="B107" s="713"/>
      <c r="C107" s="713" t="s">
        <v>370</v>
      </c>
      <c r="D107" s="714">
        <v>23</v>
      </c>
      <c r="E107" s="715">
        <v>26</v>
      </c>
      <c r="F107" s="715"/>
      <c r="G107" s="715">
        <v>1</v>
      </c>
      <c r="H107" s="715"/>
      <c r="I107" s="715"/>
      <c r="J107" s="718">
        <v>230351</v>
      </c>
      <c r="K107" s="716"/>
      <c r="L107" s="734">
        <f>56951*3</f>
        <v>170853</v>
      </c>
      <c r="M107" s="719"/>
      <c r="N107" s="718"/>
      <c r="O107" s="718"/>
      <c r="P107" s="718"/>
      <c r="Q107" s="718"/>
      <c r="R107" s="718"/>
      <c r="S107" s="758"/>
      <c r="T107" s="718"/>
      <c r="U107" s="730"/>
      <c r="V107" s="718"/>
      <c r="W107" s="718"/>
      <c r="X107" s="721" t="e">
        <f t="shared" si="38"/>
        <v>#DIV/0!</v>
      </c>
      <c r="Y107" s="722"/>
      <c r="AA107" s="609"/>
      <c r="AB107" s="609"/>
      <c r="AC107" s="609"/>
      <c r="AD107" s="724"/>
      <c r="AE107" s="724"/>
      <c r="AF107" s="724"/>
      <c r="AG107" s="724"/>
      <c r="AH107" s="724"/>
      <c r="AI107" s="724"/>
      <c r="AJ107" s="724"/>
      <c r="AK107" s="724"/>
      <c r="AL107" s="724"/>
      <c r="AM107" s="724"/>
      <c r="AN107" s="724"/>
      <c r="AO107" s="724"/>
      <c r="AP107" s="724"/>
      <c r="AQ107" s="724"/>
      <c r="AR107" s="724"/>
      <c r="AS107" s="724"/>
      <c r="AT107" s="724"/>
      <c r="AU107" s="724"/>
      <c r="AV107" s="609"/>
      <c r="AW107" s="610"/>
      <c r="AX107" s="611"/>
      <c r="AY107" s="807"/>
      <c r="AZ107" s="612"/>
      <c r="BA107" s="613"/>
    </row>
    <row r="108" spans="1:53" s="598" customFormat="1" ht="23.25" customHeight="1">
      <c r="A108" s="589">
        <v>12</v>
      </c>
      <c r="B108" s="1945" t="s">
        <v>371</v>
      </c>
      <c r="C108" s="1945"/>
      <c r="D108" s="594"/>
      <c r="E108" s="595">
        <f>SUM(E109:E116)</f>
        <v>176</v>
      </c>
      <c r="F108" s="595">
        <f>SUM(F109:F116)</f>
        <v>8</v>
      </c>
      <c r="G108" s="596">
        <f>SUM(G109:G118)</f>
        <v>10</v>
      </c>
      <c r="H108" s="595">
        <v>10</v>
      </c>
      <c r="I108" s="595"/>
      <c r="J108" s="595">
        <f t="shared" ref="J108:Q108" si="53">SUM(J109:J116)</f>
        <v>930077.48561862495</v>
      </c>
      <c r="K108" s="595">
        <f t="shared" si="53"/>
        <v>842882.060891125</v>
      </c>
      <c r="L108" s="595">
        <f t="shared" si="53"/>
        <v>930077.48561862495</v>
      </c>
      <c r="M108" s="595">
        <f t="shared" si="53"/>
        <v>93007.748561862507</v>
      </c>
      <c r="N108" s="595">
        <f t="shared" si="53"/>
        <v>837069.73705676268</v>
      </c>
      <c r="O108" s="595">
        <f t="shared" si="53"/>
        <v>776800.71598867571</v>
      </c>
      <c r="P108" s="595">
        <f t="shared" si="53"/>
        <v>724386.54598867567</v>
      </c>
      <c r="Q108" s="595">
        <f t="shared" si="53"/>
        <v>60269.021068086869</v>
      </c>
      <c r="R108" s="595"/>
      <c r="S108" s="595">
        <f>SUM(S109:S116)</f>
        <v>406691.7</v>
      </c>
      <c r="T108" s="595">
        <f>SUM(T109:T116)</f>
        <v>8133.8340000000007</v>
      </c>
      <c r="U108" s="595">
        <f>SUM(U109:U116)</f>
        <v>44280.336000000003</v>
      </c>
      <c r="V108" s="595">
        <f>SUM(V109:V116)</f>
        <v>354277.53</v>
      </c>
      <c r="W108" s="597">
        <v>0.92800000000000005</v>
      </c>
      <c r="X108" s="607">
        <f t="shared" si="38"/>
        <v>0.58903656607900634</v>
      </c>
      <c r="Y108" s="595">
        <f>SUM(Y109:Y116)</f>
        <v>4880300.4000000004</v>
      </c>
      <c r="AA108" s="609"/>
      <c r="AB108" s="609"/>
      <c r="AC108" s="609"/>
      <c r="AD108" s="609"/>
      <c r="AE108" s="609"/>
      <c r="AF108" s="609"/>
      <c r="AG108" s="609"/>
      <c r="AH108" s="609"/>
      <c r="AI108" s="609"/>
      <c r="AJ108" s="609"/>
      <c r="AK108" s="609"/>
      <c r="AL108" s="609"/>
      <c r="AM108" s="609"/>
      <c r="AN108" s="609"/>
      <c r="AO108" s="609"/>
      <c r="AP108" s="609"/>
      <c r="AQ108" s="609"/>
      <c r="AR108" s="609"/>
      <c r="AS108" s="609"/>
      <c r="AT108" s="609"/>
      <c r="AU108" s="609"/>
      <c r="AV108" s="609"/>
      <c r="AW108" s="610"/>
      <c r="AX108" s="611"/>
      <c r="AY108" s="806"/>
      <c r="AZ108" s="612"/>
      <c r="BA108" s="613"/>
    </row>
    <row r="109" spans="1:53" s="651" customFormat="1" ht="23.25" customHeight="1">
      <c r="A109" s="645"/>
      <c r="B109" s="646">
        <v>1</v>
      </c>
      <c r="C109" s="646" t="s">
        <v>372</v>
      </c>
      <c r="D109" s="647">
        <v>20</v>
      </c>
      <c r="E109" s="648">
        <v>20</v>
      </c>
      <c r="F109" s="648">
        <v>1</v>
      </c>
      <c r="G109" s="649">
        <v>1</v>
      </c>
      <c r="H109" s="648"/>
      <c r="I109" s="648"/>
      <c r="J109" s="603">
        <v>133803.60745000001</v>
      </c>
      <c r="K109" s="603">
        <v>133803.60745000001</v>
      </c>
      <c r="L109" s="603">
        <v>133803.60745000001</v>
      </c>
      <c r="M109" s="650">
        <f t="shared" ref="M109:M116" si="54">J109*10%</f>
        <v>13380.360745000002</v>
      </c>
      <c r="N109" s="603">
        <f t="shared" ref="N109:N116" si="55">J109-M109</f>
        <v>120423.24670500001</v>
      </c>
      <c r="O109" s="604">
        <f t="shared" ref="O109:O116" si="56">$N109*$W$108</f>
        <v>111752.77294224002</v>
      </c>
      <c r="P109" s="604">
        <f t="shared" ref="P109:P116" si="57">O109-T109-U109</f>
        <v>97352.772942240015</v>
      </c>
      <c r="Q109" s="603">
        <f t="shared" ref="Q109:Q116" si="58">N109-O109</f>
        <v>8670.473762759997</v>
      </c>
      <c r="R109" s="603"/>
      <c r="S109" s="603">
        <f>192000/4*1.2</f>
        <v>57600</v>
      </c>
      <c r="T109" s="603">
        <f t="shared" ref="T109:T116" si="59">S109*0.02</f>
        <v>1152</v>
      </c>
      <c r="U109" s="636">
        <f>S109/4-T109</f>
        <v>13248</v>
      </c>
      <c r="V109" s="603">
        <f t="shared" ref="V109:V116" si="60">S109-T109-U109</f>
        <v>43200</v>
      </c>
      <c r="W109" s="603"/>
      <c r="X109" s="607">
        <f t="shared" si="38"/>
        <v>0.55257910097214868</v>
      </c>
      <c r="Y109" s="608">
        <f t="shared" ref="Y109:Y116" si="61">S109*12</f>
        <v>691200</v>
      </c>
      <c r="AA109" s="609">
        <f>D109*'Don gia XCSDL DC'!$K$8</f>
        <v>9225.2014953523067</v>
      </c>
      <c r="AB109" s="609">
        <f>D109*'Don gia XCSDL DC'!$K$9</f>
        <v>8801.966995352308</v>
      </c>
      <c r="AC109" s="609" t="e">
        <f>D109*'Don gia XCSDL DC'!#REF!</f>
        <v>#REF!</v>
      </c>
      <c r="AD109" s="609">
        <f>D109*'Don gia XCSDL DC'!$K$10</f>
        <v>35443.115076724469</v>
      </c>
      <c r="AE109" s="609">
        <f>J109*'Don gia XCSDL DC'!$K$11</f>
        <v>0</v>
      </c>
      <c r="AF109" s="609" t="e">
        <f>S109*'Don gia XCSDL DC'!#REF!</f>
        <v>#REF!</v>
      </c>
      <c r="AG109" s="609" t="e">
        <f>D109*'Don gia XCSDL DC'!#REF!</f>
        <v>#REF!</v>
      </c>
      <c r="AH109" s="609" t="e">
        <f>J109*'Don gia XCSDL DC'!#REF!</f>
        <v>#REF!</v>
      </c>
      <c r="AI109" s="609" t="e">
        <f>D109*'Don gia XCSDL DC'!#REF!</f>
        <v>#REF!</v>
      </c>
      <c r="AJ109" s="609">
        <f>S109*2*'Don gia XCSDL DC'!$K$24</f>
        <v>985027730.26956344</v>
      </c>
      <c r="AK109" s="609" t="e">
        <f>S109*3*'Don gia XCSDL DC'!#REF!</f>
        <v>#REF!</v>
      </c>
      <c r="AL109" s="609" t="e">
        <f>(S109*2+S109*3)*('Don gia XCSDL DC'!#REF!+'Don gia XCSDL DC'!#REF!+'Don gia XCSDL DC'!#REF!)</f>
        <v>#REF!</v>
      </c>
      <c r="AM109" s="609" t="e">
        <f>O109*'Don gia XCSDL DC'!#REF!*50%</f>
        <v>#REF!</v>
      </c>
      <c r="AN109" s="609" t="e">
        <f>T109*'Don gia XCSDL DC'!#REF!*$AN$8</f>
        <v>#REF!</v>
      </c>
      <c r="AO109" s="609" t="e">
        <f>U109*'Don gia XCSDL DC'!#REF!*1</f>
        <v>#REF!</v>
      </c>
      <c r="AP109" s="609" t="e">
        <f>P109*X109*'Don gia XCSDL DC'!#REF!</f>
        <v>#REF!</v>
      </c>
      <c r="AQ109" s="609" t="e">
        <f>Q109*$AQ$8*'Don gia XCSDL DC'!#REF!</f>
        <v>#REF!</v>
      </c>
      <c r="AR109" s="609" t="e">
        <f>M109*$AR$8*'Don gia XCSDL DC'!#REF!</f>
        <v>#REF!</v>
      </c>
      <c r="AS109" s="609" t="e">
        <f>J109*'Don gia XCSDL DC'!#REF!</f>
        <v>#REF!</v>
      </c>
      <c r="AT109" s="609">
        <f>D109*'Don gia XCSDL DC'!$K$26</f>
        <v>0</v>
      </c>
      <c r="AU109" s="609">
        <f>J109*'Don gia XCSDL DC'!$K$34</f>
        <v>0</v>
      </c>
      <c r="AV109" s="609">
        <f>O109*'Don gia XCSDL DC'!$K$37</f>
        <v>0</v>
      </c>
      <c r="AW109" s="610" t="e">
        <f t="shared" si="49"/>
        <v>#REF!</v>
      </c>
      <c r="AX109" s="611" t="e">
        <f t="shared" si="50"/>
        <v>#REF!</v>
      </c>
      <c r="AY109" s="806" t="e">
        <f t="shared" si="47"/>
        <v>#REF!</v>
      </c>
      <c r="AZ109" s="612" t="e">
        <f>D109*'Don gia XCSDL DC'!#REF!</f>
        <v>#REF!</v>
      </c>
      <c r="BA109" s="613" t="e">
        <f>(Q109+M109)*'Don gia XCSDL DC'!#REF!</f>
        <v>#REF!</v>
      </c>
    </row>
    <row r="110" spans="1:53" s="651" customFormat="1" ht="23.25" customHeight="1">
      <c r="A110" s="645"/>
      <c r="B110" s="646">
        <v>2</v>
      </c>
      <c r="C110" s="646" t="s">
        <v>373</v>
      </c>
      <c r="D110" s="647">
        <v>21</v>
      </c>
      <c r="E110" s="648">
        <v>21</v>
      </c>
      <c r="F110" s="648">
        <v>1</v>
      </c>
      <c r="G110" s="649">
        <v>1</v>
      </c>
      <c r="H110" s="648"/>
      <c r="I110" s="648"/>
      <c r="J110" s="603">
        <v>108551.49587337501</v>
      </c>
      <c r="K110" s="603">
        <v>108551.49587337501</v>
      </c>
      <c r="L110" s="603">
        <v>108551.49587337501</v>
      </c>
      <c r="M110" s="650">
        <f t="shared" si="54"/>
        <v>10855.149587337502</v>
      </c>
      <c r="N110" s="603">
        <f t="shared" si="55"/>
        <v>97696.3462860375</v>
      </c>
      <c r="O110" s="604">
        <f t="shared" si="56"/>
        <v>90662.209353442799</v>
      </c>
      <c r="P110" s="604">
        <f t="shared" si="57"/>
        <v>85382.209353442799</v>
      </c>
      <c r="Q110" s="603">
        <f t="shared" si="58"/>
        <v>7034.1369325947016</v>
      </c>
      <c r="R110" s="652"/>
      <c r="S110" s="653">
        <f>176000/4*1.2</f>
        <v>52800</v>
      </c>
      <c r="T110" s="603">
        <f t="shared" si="59"/>
        <v>1056</v>
      </c>
      <c r="U110" s="636">
        <f>S110/10-T110</f>
        <v>4224</v>
      </c>
      <c r="V110" s="603">
        <f t="shared" si="60"/>
        <v>47520</v>
      </c>
      <c r="W110" s="603"/>
      <c r="X110" s="607">
        <f t="shared" si="38"/>
        <v>0.64331696245732073</v>
      </c>
      <c r="Y110" s="608">
        <f t="shared" si="61"/>
        <v>633600</v>
      </c>
      <c r="AA110" s="609">
        <f>D110*'Don gia XCSDL DC'!$K$8</f>
        <v>9686.4615701199236</v>
      </c>
      <c r="AB110" s="609">
        <f>D110*'Don gia XCSDL DC'!$K$9</f>
        <v>9242.065345119925</v>
      </c>
      <c r="AC110" s="609" t="e">
        <f>D110*'Don gia XCSDL DC'!#REF!</f>
        <v>#REF!</v>
      </c>
      <c r="AD110" s="609">
        <f>D110*'Don gia XCSDL DC'!$K$10</f>
        <v>37215.270830560687</v>
      </c>
      <c r="AE110" s="609">
        <f>J110*'Don gia XCSDL DC'!$K$11</f>
        <v>0</v>
      </c>
      <c r="AF110" s="609" t="e">
        <f>S110*'Don gia XCSDL DC'!#REF!</f>
        <v>#REF!</v>
      </c>
      <c r="AG110" s="609" t="e">
        <f>D110*'Don gia XCSDL DC'!#REF!</f>
        <v>#REF!</v>
      </c>
      <c r="AH110" s="609" t="e">
        <f>J110*'Don gia XCSDL DC'!#REF!</f>
        <v>#REF!</v>
      </c>
      <c r="AI110" s="609" t="e">
        <f>D110*'Don gia XCSDL DC'!#REF!</f>
        <v>#REF!</v>
      </c>
      <c r="AJ110" s="609">
        <f>S110*2*'Don gia XCSDL DC'!$K$24</f>
        <v>902942086.08043313</v>
      </c>
      <c r="AK110" s="609" t="e">
        <f>S110*3*'Don gia XCSDL DC'!#REF!</f>
        <v>#REF!</v>
      </c>
      <c r="AL110" s="609" t="e">
        <f>(S110*2+S110*3)*('Don gia XCSDL DC'!#REF!+'Don gia XCSDL DC'!#REF!+'Don gia XCSDL DC'!#REF!)</f>
        <v>#REF!</v>
      </c>
      <c r="AM110" s="609" t="e">
        <f>O110*'Don gia XCSDL DC'!#REF!*50%</f>
        <v>#REF!</v>
      </c>
      <c r="AN110" s="609" t="e">
        <f>T110*'Don gia XCSDL DC'!#REF!*$AN$8</f>
        <v>#REF!</v>
      </c>
      <c r="AO110" s="609" t="e">
        <f>U110*'Don gia XCSDL DC'!#REF!*1</f>
        <v>#REF!</v>
      </c>
      <c r="AP110" s="609" t="e">
        <f>P110*X110*'Don gia XCSDL DC'!#REF!</f>
        <v>#REF!</v>
      </c>
      <c r="AQ110" s="609" t="e">
        <f>Q110*$AQ$8*'Don gia XCSDL DC'!#REF!</f>
        <v>#REF!</v>
      </c>
      <c r="AR110" s="609" t="e">
        <f>M110*$AR$8*'Don gia XCSDL DC'!#REF!</f>
        <v>#REF!</v>
      </c>
      <c r="AS110" s="609" t="e">
        <f>J110*'Don gia XCSDL DC'!#REF!</f>
        <v>#REF!</v>
      </c>
      <c r="AT110" s="609">
        <f>D110*'Don gia XCSDL DC'!$K$26</f>
        <v>0</v>
      </c>
      <c r="AU110" s="609">
        <f>J110*'Don gia XCSDL DC'!$K$34</f>
        <v>0</v>
      </c>
      <c r="AV110" s="609">
        <f>O110*'Don gia XCSDL DC'!$K$37</f>
        <v>0</v>
      </c>
      <c r="AW110" s="610" t="e">
        <f t="shared" si="49"/>
        <v>#REF!</v>
      </c>
      <c r="AX110" s="611" t="e">
        <f t="shared" si="50"/>
        <v>#REF!</v>
      </c>
      <c r="AY110" s="806" t="e">
        <f t="shared" si="47"/>
        <v>#REF!</v>
      </c>
      <c r="AZ110" s="612" t="e">
        <f>D110*'Don gia XCSDL DC'!#REF!</f>
        <v>#REF!</v>
      </c>
      <c r="BA110" s="613" t="e">
        <f>(Q110+M110)*'Don gia XCSDL DC'!#REF!</f>
        <v>#REF!</v>
      </c>
    </row>
    <row r="111" spans="1:53" s="651" customFormat="1" ht="23.25" customHeight="1">
      <c r="A111" s="645"/>
      <c r="B111" s="646">
        <v>3</v>
      </c>
      <c r="C111" s="646" t="s">
        <v>374</v>
      </c>
      <c r="D111" s="647">
        <v>11</v>
      </c>
      <c r="E111" s="648">
        <v>11</v>
      </c>
      <c r="F111" s="648">
        <v>1</v>
      </c>
      <c r="G111" s="649">
        <v>1</v>
      </c>
      <c r="H111" s="648"/>
      <c r="I111" s="648"/>
      <c r="J111" s="603">
        <v>55350.37746625</v>
      </c>
      <c r="K111" s="603">
        <v>55350.37746625</v>
      </c>
      <c r="L111" s="603">
        <v>55350.37746625</v>
      </c>
      <c r="M111" s="650">
        <f t="shared" si="54"/>
        <v>5535.0377466250002</v>
      </c>
      <c r="N111" s="603">
        <f t="shared" si="55"/>
        <v>49815.339719625001</v>
      </c>
      <c r="O111" s="604">
        <f t="shared" si="56"/>
        <v>46228.635259812007</v>
      </c>
      <c r="P111" s="604">
        <f t="shared" si="57"/>
        <v>41053.635259812007</v>
      </c>
      <c r="Q111" s="603">
        <f t="shared" si="58"/>
        <v>3586.7044598129942</v>
      </c>
      <c r="R111" s="654"/>
      <c r="S111" s="655">
        <f>69000/4*1.2</f>
        <v>20700</v>
      </c>
      <c r="T111" s="603">
        <f t="shared" si="59"/>
        <v>414</v>
      </c>
      <c r="U111" s="636">
        <f>S111/4-T111</f>
        <v>4761</v>
      </c>
      <c r="V111" s="603">
        <f t="shared" si="60"/>
        <v>15525</v>
      </c>
      <c r="W111" s="603"/>
      <c r="X111" s="607">
        <f t="shared" si="38"/>
        <v>0.49982742955049475</v>
      </c>
      <c r="Y111" s="608">
        <f t="shared" si="61"/>
        <v>248400</v>
      </c>
      <c r="AA111" s="609">
        <f>D111*'Don gia XCSDL DC'!$K$8</f>
        <v>5073.8608224437694</v>
      </c>
      <c r="AB111" s="609">
        <f>D111*'Don gia XCSDL DC'!$K$9</f>
        <v>4841.0818474437701</v>
      </c>
      <c r="AC111" s="609" t="e">
        <f>D111*'Don gia XCSDL DC'!#REF!</f>
        <v>#REF!</v>
      </c>
      <c r="AD111" s="609">
        <f>D111*'Don gia XCSDL DC'!$K$10</f>
        <v>19493.713292198456</v>
      </c>
      <c r="AE111" s="609">
        <f>J111*'Don gia XCSDL DC'!$K$11</f>
        <v>0</v>
      </c>
      <c r="AF111" s="609" t="e">
        <f>S111*'Don gia XCSDL DC'!#REF!</f>
        <v>#REF!</v>
      </c>
      <c r="AG111" s="609" t="e">
        <f>D111*'Don gia XCSDL DC'!#REF!</f>
        <v>#REF!</v>
      </c>
      <c r="AH111" s="609" t="e">
        <f>J111*'Don gia XCSDL DC'!#REF!</f>
        <v>#REF!</v>
      </c>
      <c r="AI111" s="609" t="e">
        <f>D111*'Don gia XCSDL DC'!#REF!</f>
        <v>#REF!</v>
      </c>
      <c r="AJ111" s="609">
        <f>S111*2*'Don gia XCSDL DC'!$K$24</f>
        <v>353994340.56562436</v>
      </c>
      <c r="AK111" s="609" t="e">
        <f>S111*3*'Don gia XCSDL DC'!#REF!</f>
        <v>#REF!</v>
      </c>
      <c r="AL111" s="609" t="e">
        <f>(S111*2+S111*3)*('Don gia XCSDL DC'!#REF!+'Don gia XCSDL DC'!#REF!+'Don gia XCSDL DC'!#REF!)</f>
        <v>#REF!</v>
      </c>
      <c r="AM111" s="609" t="e">
        <f>O111*'Don gia XCSDL DC'!#REF!*50%</f>
        <v>#REF!</v>
      </c>
      <c r="AN111" s="609" t="e">
        <f>T111*'Don gia XCSDL DC'!#REF!*$AN$8</f>
        <v>#REF!</v>
      </c>
      <c r="AO111" s="609" t="e">
        <f>U111*'Don gia XCSDL DC'!#REF!*1</f>
        <v>#REF!</v>
      </c>
      <c r="AP111" s="609" t="e">
        <f>P111*X111*'Don gia XCSDL DC'!#REF!</f>
        <v>#REF!</v>
      </c>
      <c r="AQ111" s="609" t="e">
        <f>Q111*$AQ$8*'Don gia XCSDL DC'!#REF!</f>
        <v>#REF!</v>
      </c>
      <c r="AR111" s="609" t="e">
        <f>M111*$AR$8*'Don gia XCSDL DC'!#REF!</f>
        <v>#REF!</v>
      </c>
      <c r="AS111" s="609" t="e">
        <f>J111*'Don gia XCSDL DC'!#REF!</f>
        <v>#REF!</v>
      </c>
      <c r="AT111" s="609">
        <f>D111*'Don gia XCSDL DC'!$K$26</f>
        <v>0</v>
      </c>
      <c r="AU111" s="609">
        <f>J111*'Don gia XCSDL DC'!$K$34</f>
        <v>0</v>
      </c>
      <c r="AV111" s="609">
        <f>O111*'Don gia XCSDL DC'!$K$37</f>
        <v>0</v>
      </c>
      <c r="AW111" s="610" t="e">
        <f t="shared" si="49"/>
        <v>#REF!</v>
      </c>
      <c r="AX111" s="611" t="e">
        <f t="shared" si="50"/>
        <v>#REF!</v>
      </c>
      <c r="AY111" s="806" t="e">
        <f t="shared" si="47"/>
        <v>#REF!</v>
      </c>
      <c r="AZ111" s="612" t="e">
        <f>D111*'Don gia XCSDL DC'!#REF!</f>
        <v>#REF!</v>
      </c>
      <c r="BA111" s="613" t="e">
        <f>(Q111+M111)*'Don gia XCSDL DC'!#REF!</f>
        <v>#REF!</v>
      </c>
    </row>
    <row r="112" spans="1:53" s="651" customFormat="1" ht="23.25" customHeight="1">
      <c r="A112" s="645"/>
      <c r="B112" s="646">
        <v>4</v>
      </c>
      <c r="C112" s="646" t="s">
        <v>375</v>
      </c>
      <c r="D112" s="647">
        <v>35</v>
      </c>
      <c r="E112" s="648">
        <v>35</v>
      </c>
      <c r="F112" s="648">
        <v>1</v>
      </c>
      <c r="G112" s="649">
        <v>1</v>
      </c>
      <c r="H112" s="648"/>
      <c r="I112" s="648"/>
      <c r="J112" s="603">
        <v>189329.09336875001</v>
      </c>
      <c r="K112" s="603">
        <v>189329.09336875001</v>
      </c>
      <c r="L112" s="603">
        <v>189329.09336875001</v>
      </c>
      <c r="M112" s="650">
        <f t="shared" si="54"/>
        <v>18932.909336875</v>
      </c>
      <c r="N112" s="603">
        <f t="shared" si="55"/>
        <v>170396.18403187502</v>
      </c>
      <c r="O112" s="604">
        <f t="shared" si="56"/>
        <v>158127.65878158002</v>
      </c>
      <c r="P112" s="604">
        <f t="shared" si="57"/>
        <v>150447.65878158002</v>
      </c>
      <c r="Q112" s="603">
        <f t="shared" si="58"/>
        <v>12268.525250295002</v>
      </c>
      <c r="R112" s="652"/>
      <c r="S112" s="656">
        <f>256000/4*1.2</f>
        <v>76800</v>
      </c>
      <c r="T112" s="603">
        <f t="shared" si="59"/>
        <v>1536</v>
      </c>
      <c r="U112" s="636">
        <f>S112/10-T112</f>
        <v>6144</v>
      </c>
      <c r="V112" s="603">
        <f t="shared" si="60"/>
        <v>69120</v>
      </c>
      <c r="W112" s="603"/>
      <c r="X112" s="607">
        <f t="shared" si="38"/>
        <v>0.56519279813668455</v>
      </c>
      <c r="Y112" s="608">
        <f t="shared" si="61"/>
        <v>921600</v>
      </c>
      <c r="AA112" s="609">
        <f>D112*'Don gia XCSDL DC'!$K$8</f>
        <v>16144.102616866538</v>
      </c>
      <c r="AB112" s="609">
        <f>D112*'Don gia XCSDL DC'!$K$9</f>
        <v>15403.44224186654</v>
      </c>
      <c r="AC112" s="609" t="e">
        <f>D112*'Don gia XCSDL DC'!#REF!</f>
        <v>#REF!</v>
      </c>
      <c r="AD112" s="609">
        <f>D112*'Don gia XCSDL DC'!$K$10</f>
        <v>62025.451384267813</v>
      </c>
      <c r="AE112" s="609">
        <f>J112*'Don gia XCSDL DC'!$K$11</f>
        <v>0</v>
      </c>
      <c r="AF112" s="609" t="e">
        <f>S112*'Don gia XCSDL DC'!#REF!</f>
        <v>#REF!</v>
      </c>
      <c r="AG112" s="609" t="e">
        <f>D112*'Don gia XCSDL DC'!#REF!</f>
        <v>#REF!</v>
      </c>
      <c r="AH112" s="609" t="e">
        <f>J112*'Don gia XCSDL DC'!#REF!</f>
        <v>#REF!</v>
      </c>
      <c r="AI112" s="609" t="e">
        <f>D112*'Don gia XCSDL DC'!#REF!</f>
        <v>#REF!</v>
      </c>
      <c r="AJ112" s="609">
        <f>S112*2*'Don gia XCSDL DC'!$K$24</f>
        <v>1313370307.0260844</v>
      </c>
      <c r="AK112" s="609" t="e">
        <f>S112*3*'Don gia XCSDL DC'!#REF!</f>
        <v>#REF!</v>
      </c>
      <c r="AL112" s="609" t="e">
        <f>(S112*2+S112*3)*('Don gia XCSDL DC'!#REF!+'Don gia XCSDL DC'!#REF!+'Don gia XCSDL DC'!#REF!)</f>
        <v>#REF!</v>
      </c>
      <c r="AM112" s="609" t="e">
        <f>O112*'Don gia XCSDL DC'!#REF!*50%</f>
        <v>#REF!</v>
      </c>
      <c r="AN112" s="609" t="e">
        <f>T112*'Don gia XCSDL DC'!#REF!*$AN$8</f>
        <v>#REF!</v>
      </c>
      <c r="AO112" s="609" t="e">
        <f>U112*'Don gia XCSDL DC'!#REF!*1</f>
        <v>#REF!</v>
      </c>
      <c r="AP112" s="609" t="e">
        <f>P112*X112*'Don gia XCSDL DC'!#REF!</f>
        <v>#REF!</v>
      </c>
      <c r="AQ112" s="609" t="e">
        <f>Q112*$AQ$8*'Don gia XCSDL DC'!#REF!</f>
        <v>#REF!</v>
      </c>
      <c r="AR112" s="609" t="e">
        <f>M112*$AR$8*'Don gia XCSDL DC'!#REF!</f>
        <v>#REF!</v>
      </c>
      <c r="AS112" s="609" t="e">
        <f>J112*'Don gia XCSDL DC'!#REF!</f>
        <v>#REF!</v>
      </c>
      <c r="AT112" s="609">
        <f>D112*'Don gia XCSDL DC'!$K$26</f>
        <v>0</v>
      </c>
      <c r="AU112" s="609">
        <f>J112*'Don gia XCSDL DC'!$K$34</f>
        <v>0</v>
      </c>
      <c r="AV112" s="609">
        <f>O112*'Don gia XCSDL DC'!$K$37</f>
        <v>0</v>
      </c>
      <c r="AW112" s="610" t="e">
        <f t="shared" si="49"/>
        <v>#REF!</v>
      </c>
      <c r="AX112" s="611" t="e">
        <f t="shared" si="50"/>
        <v>#REF!</v>
      </c>
      <c r="AY112" s="806" t="e">
        <f t="shared" si="47"/>
        <v>#REF!</v>
      </c>
      <c r="AZ112" s="612" t="e">
        <f>D112*'Don gia XCSDL DC'!#REF!</f>
        <v>#REF!</v>
      </c>
      <c r="BA112" s="613" t="e">
        <f>(Q112+M112)*'Don gia XCSDL DC'!#REF!</f>
        <v>#REF!</v>
      </c>
    </row>
    <row r="113" spans="1:53" s="651" customFormat="1" ht="23.25" customHeight="1">
      <c r="A113" s="645"/>
      <c r="B113" s="646">
        <v>5</v>
      </c>
      <c r="C113" s="646" t="s">
        <v>376</v>
      </c>
      <c r="D113" s="647">
        <v>20</v>
      </c>
      <c r="E113" s="657">
        <v>21</v>
      </c>
      <c r="F113" s="648">
        <v>1</v>
      </c>
      <c r="G113" s="649">
        <v>1</v>
      </c>
      <c r="H113" s="648"/>
      <c r="I113" s="648"/>
      <c r="J113" s="603">
        <v>115315.66086900001</v>
      </c>
      <c r="K113" s="603">
        <v>115315.66086900001</v>
      </c>
      <c r="L113" s="603">
        <v>115315.66086900001</v>
      </c>
      <c r="M113" s="650">
        <f t="shared" si="54"/>
        <v>11531.566086900002</v>
      </c>
      <c r="N113" s="603">
        <f t="shared" si="55"/>
        <v>103784.09478210002</v>
      </c>
      <c r="O113" s="604">
        <f t="shared" si="56"/>
        <v>96311.639957788822</v>
      </c>
      <c r="P113" s="604">
        <f t="shared" si="57"/>
        <v>91339.469957788824</v>
      </c>
      <c r="Q113" s="603">
        <f t="shared" si="58"/>
        <v>7472.4548243111931</v>
      </c>
      <c r="R113" s="652"/>
      <c r="S113" s="653">
        <f>165739/4*1.2</f>
        <v>49721.7</v>
      </c>
      <c r="T113" s="603">
        <f t="shared" si="59"/>
        <v>994.43399999999997</v>
      </c>
      <c r="U113" s="636">
        <f>S113/10-T113</f>
        <v>3977.7359999999999</v>
      </c>
      <c r="V113" s="603">
        <f t="shared" si="60"/>
        <v>44749.53</v>
      </c>
      <c r="W113" s="603"/>
      <c r="X113" s="607">
        <f t="shared" si="38"/>
        <v>0.58972263644744649</v>
      </c>
      <c r="Y113" s="608">
        <f t="shared" si="61"/>
        <v>596660.39999999991</v>
      </c>
      <c r="AA113" s="609">
        <f>D113*'Don gia XCSDL DC'!$K$8</f>
        <v>9225.2014953523067</v>
      </c>
      <c r="AB113" s="609">
        <f>D113*'Don gia XCSDL DC'!$K$9</f>
        <v>8801.966995352308</v>
      </c>
      <c r="AC113" s="609" t="e">
        <f>D113*'Don gia XCSDL DC'!#REF!</f>
        <v>#REF!</v>
      </c>
      <c r="AD113" s="609">
        <f>D113*'Don gia XCSDL DC'!$K$10</f>
        <v>35443.115076724469</v>
      </c>
      <c r="AE113" s="609">
        <f>J113*'Don gia XCSDL DC'!$K$11</f>
        <v>0</v>
      </c>
      <c r="AF113" s="609" t="e">
        <f>S113*'Don gia XCSDL DC'!#REF!</f>
        <v>#REF!</v>
      </c>
      <c r="AG113" s="609" t="e">
        <f>D113*'Don gia XCSDL DC'!#REF!</f>
        <v>#REF!</v>
      </c>
      <c r="AH113" s="609" t="e">
        <f>J113*'Don gia XCSDL DC'!#REF!</f>
        <v>#REF!</v>
      </c>
      <c r="AI113" s="609" t="e">
        <f>D113*'Don gia XCSDL DC'!#REF!</f>
        <v>#REF!</v>
      </c>
      <c r="AJ113" s="609">
        <f>S113*2*'Don gia XCSDL DC'!$K$24</f>
        <v>850299536.3913914</v>
      </c>
      <c r="AK113" s="609" t="e">
        <f>S113*3*'Don gia XCSDL DC'!#REF!</f>
        <v>#REF!</v>
      </c>
      <c r="AL113" s="609" t="e">
        <f>(S113*2+S113*3)*('Don gia XCSDL DC'!#REF!+'Don gia XCSDL DC'!#REF!+'Don gia XCSDL DC'!#REF!)</f>
        <v>#REF!</v>
      </c>
      <c r="AM113" s="609" t="e">
        <f>O113*'Don gia XCSDL DC'!#REF!*50%</f>
        <v>#REF!</v>
      </c>
      <c r="AN113" s="609" t="e">
        <f>T113*'Don gia XCSDL DC'!#REF!*$AN$8</f>
        <v>#REF!</v>
      </c>
      <c r="AO113" s="609" t="e">
        <f>U113*'Don gia XCSDL DC'!#REF!*1</f>
        <v>#REF!</v>
      </c>
      <c r="AP113" s="609" t="e">
        <f>P113*X113*'Don gia XCSDL DC'!#REF!</f>
        <v>#REF!</v>
      </c>
      <c r="AQ113" s="609" t="e">
        <f>Q113*$AQ$8*'Don gia XCSDL DC'!#REF!</f>
        <v>#REF!</v>
      </c>
      <c r="AR113" s="609" t="e">
        <f>M113*$AR$8*'Don gia XCSDL DC'!#REF!</f>
        <v>#REF!</v>
      </c>
      <c r="AS113" s="609" t="e">
        <f>J113*'Don gia XCSDL DC'!#REF!</f>
        <v>#REF!</v>
      </c>
      <c r="AT113" s="609">
        <f>D113*'Don gia XCSDL DC'!$K$26</f>
        <v>0</v>
      </c>
      <c r="AU113" s="609">
        <f>J113*'Don gia XCSDL DC'!$K$34</f>
        <v>0</v>
      </c>
      <c r="AV113" s="609">
        <f>O113*'Don gia XCSDL DC'!$K$37</f>
        <v>0</v>
      </c>
      <c r="AW113" s="610" t="e">
        <f t="shared" si="49"/>
        <v>#REF!</v>
      </c>
      <c r="AX113" s="611" t="e">
        <f t="shared" si="50"/>
        <v>#REF!</v>
      </c>
      <c r="AY113" s="806" t="e">
        <f t="shared" si="47"/>
        <v>#REF!</v>
      </c>
      <c r="AZ113" s="612" t="e">
        <f>D113*'Don gia XCSDL DC'!#REF!</f>
        <v>#REF!</v>
      </c>
      <c r="BA113" s="613" t="e">
        <f>(Q113+M113)*'Don gia XCSDL DC'!#REF!</f>
        <v>#REF!</v>
      </c>
    </row>
    <row r="114" spans="1:53" s="651" customFormat="1" ht="23.25" customHeight="1">
      <c r="A114" s="645"/>
      <c r="B114" s="646">
        <v>6</v>
      </c>
      <c r="C114" s="646" t="s">
        <v>377</v>
      </c>
      <c r="D114" s="647">
        <v>22</v>
      </c>
      <c r="E114" s="648">
        <v>22</v>
      </c>
      <c r="F114" s="648">
        <v>1</v>
      </c>
      <c r="G114" s="649">
        <v>1</v>
      </c>
      <c r="H114" s="648"/>
      <c r="I114" s="648"/>
      <c r="J114" s="603">
        <v>117172.72287500001</v>
      </c>
      <c r="K114" s="603">
        <v>117172.72287500001</v>
      </c>
      <c r="L114" s="603">
        <v>117172.72287500001</v>
      </c>
      <c r="M114" s="650">
        <f t="shared" si="54"/>
        <v>11717.272287500002</v>
      </c>
      <c r="N114" s="603">
        <f t="shared" si="55"/>
        <v>105455.4505875</v>
      </c>
      <c r="O114" s="604">
        <f t="shared" si="56"/>
        <v>97862.65814520001</v>
      </c>
      <c r="P114" s="604">
        <f t="shared" si="57"/>
        <v>92198.65814520001</v>
      </c>
      <c r="Q114" s="603">
        <f t="shared" si="58"/>
        <v>7592.7924422999931</v>
      </c>
      <c r="R114" s="652"/>
      <c r="S114" s="653">
        <f>188800/4*1.2</f>
        <v>56640</v>
      </c>
      <c r="T114" s="603">
        <f t="shared" si="59"/>
        <v>1132.8</v>
      </c>
      <c r="U114" s="636">
        <f>S114/10-T114</f>
        <v>4531.2</v>
      </c>
      <c r="V114" s="603">
        <f t="shared" si="60"/>
        <v>50976</v>
      </c>
      <c r="W114" s="603"/>
      <c r="X114" s="607">
        <f t="shared" si="38"/>
        <v>0.64037052022601892</v>
      </c>
      <c r="Y114" s="608">
        <f t="shared" si="61"/>
        <v>679680</v>
      </c>
      <c r="AA114" s="609">
        <f>D114*'Don gia XCSDL DC'!$K$8</f>
        <v>10147.721644887539</v>
      </c>
      <c r="AB114" s="609">
        <f>D114*'Don gia XCSDL DC'!$K$9</f>
        <v>9682.1636948875403</v>
      </c>
      <c r="AC114" s="609" t="e">
        <f>D114*'Don gia XCSDL DC'!#REF!</f>
        <v>#REF!</v>
      </c>
      <c r="AD114" s="609">
        <f>D114*'Don gia XCSDL DC'!$K$10</f>
        <v>38987.426584396911</v>
      </c>
      <c r="AE114" s="609">
        <f>J114*'Don gia XCSDL DC'!$K$11</f>
        <v>0</v>
      </c>
      <c r="AF114" s="609" t="e">
        <f>S114*'Don gia XCSDL DC'!#REF!</f>
        <v>#REF!</v>
      </c>
      <c r="AG114" s="609" t="e">
        <f>D114*'Don gia XCSDL DC'!#REF!</f>
        <v>#REF!</v>
      </c>
      <c r="AH114" s="609" t="e">
        <f>J114*'Don gia XCSDL DC'!#REF!</f>
        <v>#REF!</v>
      </c>
      <c r="AI114" s="609" t="e">
        <f>D114*'Don gia XCSDL DC'!#REF!</f>
        <v>#REF!</v>
      </c>
      <c r="AJ114" s="609">
        <f>S114*2*'Don gia XCSDL DC'!$K$24</f>
        <v>968610601.4317373</v>
      </c>
      <c r="AK114" s="609" t="e">
        <f>S114*3*'Don gia XCSDL DC'!#REF!</f>
        <v>#REF!</v>
      </c>
      <c r="AL114" s="609" t="e">
        <f>(S114*2+S114*3)*('Don gia XCSDL DC'!#REF!+'Don gia XCSDL DC'!#REF!+'Don gia XCSDL DC'!#REF!)</f>
        <v>#REF!</v>
      </c>
      <c r="AM114" s="609" t="e">
        <f>O114*'Don gia XCSDL DC'!#REF!*50%</f>
        <v>#REF!</v>
      </c>
      <c r="AN114" s="609" t="e">
        <f>T114*'Don gia XCSDL DC'!#REF!*$AN$8</f>
        <v>#REF!</v>
      </c>
      <c r="AO114" s="609" t="e">
        <f>U114*'Don gia XCSDL DC'!#REF!*1</f>
        <v>#REF!</v>
      </c>
      <c r="AP114" s="609" t="e">
        <f>P114*X114*'Don gia XCSDL DC'!#REF!</f>
        <v>#REF!</v>
      </c>
      <c r="AQ114" s="609" t="e">
        <f>Q114*$AQ$8*'Don gia XCSDL DC'!#REF!</f>
        <v>#REF!</v>
      </c>
      <c r="AR114" s="609" t="e">
        <f>M114*$AR$8*'Don gia XCSDL DC'!#REF!</f>
        <v>#REF!</v>
      </c>
      <c r="AS114" s="609" t="e">
        <f>J114*'Don gia XCSDL DC'!#REF!</f>
        <v>#REF!</v>
      </c>
      <c r="AT114" s="609">
        <f>D114*'Don gia XCSDL DC'!$K$26</f>
        <v>0</v>
      </c>
      <c r="AU114" s="609">
        <f>J114*'Don gia XCSDL DC'!$K$34</f>
        <v>0</v>
      </c>
      <c r="AV114" s="609">
        <f>O114*'Don gia XCSDL DC'!$K$37</f>
        <v>0</v>
      </c>
      <c r="AW114" s="610" t="e">
        <f t="shared" si="49"/>
        <v>#REF!</v>
      </c>
      <c r="AX114" s="611" t="e">
        <f t="shared" si="50"/>
        <v>#REF!</v>
      </c>
      <c r="AY114" s="806" t="e">
        <f t="shared" si="47"/>
        <v>#REF!</v>
      </c>
      <c r="AZ114" s="612" t="e">
        <f>D114*'Don gia XCSDL DC'!#REF!</f>
        <v>#REF!</v>
      </c>
      <c r="BA114" s="613" t="e">
        <f>(Q114+M114)*'Don gia XCSDL DC'!#REF!</f>
        <v>#REF!</v>
      </c>
    </row>
    <row r="115" spans="1:53" s="651" customFormat="1" ht="23.25" customHeight="1">
      <c r="A115" s="645"/>
      <c r="B115" s="646">
        <v>7</v>
      </c>
      <c r="C115" s="646" t="s">
        <v>378</v>
      </c>
      <c r="D115" s="647">
        <v>25</v>
      </c>
      <c r="E115" s="657">
        <v>28</v>
      </c>
      <c r="F115" s="648">
        <v>1</v>
      </c>
      <c r="G115" s="649">
        <v>1</v>
      </c>
      <c r="H115" s="648"/>
      <c r="I115" s="648"/>
      <c r="J115" s="603">
        <v>123359.10298874998</v>
      </c>
      <c r="K115" s="603">
        <v>123359.10298874998</v>
      </c>
      <c r="L115" s="603">
        <v>123359.10298874998</v>
      </c>
      <c r="M115" s="650">
        <f t="shared" si="54"/>
        <v>12335.910298874998</v>
      </c>
      <c r="N115" s="603">
        <f t="shared" si="55"/>
        <v>111023.19268987498</v>
      </c>
      <c r="O115" s="604">
        <f t="shared" si="56"/>
        <v>103029.52281620399</v>
      </c>
      <c r="P115" s="604">
        <f t="shared" si="57"/>
        <v>97674.522816203986</v>
      </c>
      <c r="Q115" s="603">
        <f t="shared" si="58"/>
        <v>7993.669873670995</v>
      </c>
      <c r="R115" s="652"/>
      <c r="S115" s="653">
        <f>178500/4*1.2</f>
        <v>53550</v>
      </c>
      <c r="T115" s="603">
        <f t="shared" si="59"/>
        <v>1071</v>
      </c>
      <c r="U115" s="636">
        <f>S115/10-T115</f>
        <v>4284</v>
      </c>
      <c r="V115" s="603">
        <f t="shared" si="60"/>
        <v>48195</v>
      </c>
      <c r="W115" s="603"/>
      <c r="X115" s="607">
        <f t="shared" si="38"/>
        <v>0.59253707655246302</v>
      </c>
      <c r="Y115" s="608">
        <f t="shared" si="61"/>
        <v>642600</v>
      </c>
      <c r="AA115" s="609">
        <f>D115*'Don gia XCSDL DC'!$K$8</f>
        <v>11531.501869190384</v>
      </c>
      <c r="AB115" s="609">
        <f>D115*'Don gia XCSDL DC'!$K$9</f>
        <v>11002.458744190386</v>
      </c>
      <c r="AC115" s="609" t="e">
        <f>D115*'Don gia XCSDL DC'!#REF!</f>
        <v>#REF!</v>
      </c>
      <c r="AD115" s="609">
        <f>D115*'Don gia XCSDL DC'!$K$10</f>
        <v>44303.893845905586</v>
      </c>
      <c r="AE115" s="609">
        <f>J115*'Don gia XCSDL DC'!$K$11</f>
        <v>0</v>
      </c>
      <c r="AF115" s="609" t="e">
        <f>S115*'Don gia XCSDL DC'!#REF!</f>
        <v>#REF!</v>
      </c>
      <c r="AG115" s="609" t="e">
        <f>D115*'Don gia XCSDL DC'!#REF!</f>
        <v>#REF!</v>
      </c>
      <c r="AH115" s="609" t="e">
        <f>J115*'Don gia XCSDL DC'!#REF!</f>
        <v>#REF!</v>
      </c>
      <c r="AI115" s="609" t="e">
        <f>D115*'Don gia XCSDL DC'!#REF!</f>
        <v>#REF!</v>
      </c>
      <c r="AJ115" s="609">
        <f>S115*2*'Don gia XCSDL DC'!$K$24</f>
        <v>915767967.98498476</v>
      </c>
      <c r="AK115" s="609" t="e">
        <f>S115*3*'Don gia XCSDL DC'!#REF!</f>
        <v>#REF!</v>
      </c>
      <c r="AL115" s="609" t="e">
        <f>(S115*2+S115*3)*('Don gia XCSDL DC'!#REF!+'Don gia XCSDL DC'!#REF!+'Don gia XCSDL DC'!#REF!)</f>
        <v>#REF!</v>
      </c>
      <c r="AM115" s="609" t="e">
        <f>O115*'Don gia XCSDL DC'!#REF!*50%</f>
        <v>#REF!</v>
      </c>
      <c r="AN115" s="609" t="e">
        <f>T115*'Don gia XCSDL DC'!#REF!*$AN$8</f>
        <v>#REF!</v>
      </c>
      <c r="AO115" s="609" t="e">
        <f>U115*'Don gia XCSDL DC'!#REF!*1</f>
        <v>#REF!</v>
      </c>
      <c r="AP115" s="609" t="e">
        <f>P115*X115*'Don gia XCSDL DC'!#REF!</f>
        <v>#REF!</v>
      </c>
      <c r="AQ115" s="609" t="e">
        <f>Q115*$AQ$8*'Don gia XCSDL DC'!#REF!</f>
        <v>#REF!</v>
      </c>
      <c r="AR115" s="609" t="e">
        <f>M115*$AR$8*'Don gia XCSDL DC'!#REF!</f>
        <v>#REF!</v>
      </c>
      <c r="AS115" s="609" t="e">
        <f>J115*'Don gia XCSDL DC'!#REF!</f>
        <v>#REF!</v>
      </c>
      <c r="AT115" s="609">
        <f>D115*'Don gia XCSDL DC'!$K$26</f>
        <v>0</v>
      </c>
      <c r="AU115" s="609">
        <f>J115*'Don gia XCSDL DC'!$K$34</f>
        <v>0</v>
      </c>
      <c r="AV115" s="609">
        <f>O115*'Don gia XCSDL DC'!$K$37</f>
        <v>0</v>
      </c>
      <c r="AW115" s="610" t="e">
        <f t="shared" si="49"/>
        <v>#REF!</v>
      </c>
      <c r="AX115" s="611" t="e">
        <f t="shared" si="50"/>
        <v>#REF!</v>
      </c>
      <c r="AY115" s="806" t="e">
        <f t="shared" si="47"/>
        <v>#REF!</v>
      </c>
      <c r="AZ115" s="612" t="e">
        <f>D115*'Don gia XCSDL DC'!#REF!</f>
        <v>#REF!</v>
      </c>
      <c r="BA115" s="613" t="e">
        <f>(Q115+M115)*'Don gia XCSDL DC'!#REF!</f>
        <v>#REF!</v>
      </c>
    </row>
    <row r="116" spans="1:53" s="651" customFormat="1" ht="23.25" customHeight="1">
      <c r="A116" s="645"/>
      <c r="B116" s="646">
        <v>8</v>
      </c>
      <c r="C116" s="646" t="s">
        <v>379</v>
      </c>
      <c r="D116" s="647">
        <v>18</v>
      </c>
      <c r="E116" s="648">
        <v>18</v>
      </c>
      <c r="F116" s="648">
        <v>1</v>
      </c>
      <c r="G116" s="649">
        <v>1</v>
      </c>
      <c r="H116" s="648"/>
      <c r="I116" s="648"/>
      <c r="J116" s="603">
        <v>87195.424727499994</v>
      </c>
      <c r="K116" s="603"/>
      <c r="L116" s="603">
        <v>87195.424727499994</v>
      </c>
      <c r="M116" s="650">
        <f t="shared" si="54"/>
        <v>8719.5424727499994</v>
      </c>
      <c r="N116" s="603">
        <f t="shared" si="55"/>
        <v>78475.882254750002</v>
      </c>
      <c r="O116" s="604">
        <f t="shared" si="56"/>
        <v>72825.618732408009</v>
      </c>
      <c r="P116" s="604">
        <f t="shared" si="57"/>
        <v>68937.618732408009</v>
      </c>
      <c r="Q116" s="603">
        <f t="shared" si="58"/>
        <v>5650.2635223419929</v>
      </c>
      <c r="R116" s="652"/>
      <c r="S116" s="653">
        <f>129600/4*1.2</f>
        <v>38880</v>
      </c>
      <c r="T116" s="603">
        <f t="shared" si="59"/>
        <v>777.6</v>
      </c>
      <c r="U116" s="636">
        <f>S116/10-T116</f>
        <v>3110.4</v>
      </c>
      <c r="V116" s="603">
        <f t="shared" si="60"/>
        <v>34992</v>
      </c>
      <c r="W116" s="603"/>
      <c r="X116" s="607">
        <f t="shared" si="38"/>
        <v>0.60393055149505426</v>
      </c>
      <c r="Y116" s="608">
        <f t="shared" si="61"/>
        <v>466560</v>
      </c>
      <c r="AA116" s="609">
        <f>D116*'Don gia XCSDL DC'!$K$8</f>
        <v>8302.6813458170764</v>
      </c>
      <c r="AB116" s="609">
        <f>D116*'Don gia XCSDL DC'!$K$9</f>
        <v>7921.7702958170776</v>
      </c>
      <c r="AC116" s="609" t="e">
        <f>D116*'Don gia XCSDL DC'!#REF!</f>
        <v>#REF!</v>
      </c>
      <c r="AD116" s="609">
        <f>D116*'Don gia XCSDL DC'!$K$10</f>
        <v>31898.803569052019</v>
      </c>
      <c r="AE116" s="609">
        <f>J116*'Don gia XCSDL DC'!$K$11</f>
        <v>0</v>
      </c>
      <c r="AF116" s="609" t="e">
        <f>S116*'Don gia XCSDL DC'!#REF!</f>
        <v>#REF!</v>
      </c>
      <c r="AG116" s="609" t="e">
        <f>D116*'Don gia XCSDL DC'!#REF!</f>
        <v>#REF!</v>
      </c>
      <c r="AH116" s="609" t="e">
        <f>J116*'Don gia XCSDL DC'!#REF!</f>
        <v>#REF!</v>
      </c>
      <c r="AI116" s="609" t="e">
        <f>D116*'Don gia XCSDL DC'!#REF!</f>
        <v>#REF!</v>
      </c>
      <c r="AJ116" s="609">
        <f>S116*2*'Don gia XCSDL DC'!$K$24</f>
        <v>664893717.93195534</v>
      </c>
      <c r="AK116" s="609" t="e">
        <f>S116*3*'Don gia XCSDL DC'!#REF!</f>
        <v>#REF!</v>
      </c>
      <c r="AL116" s="609" t="e">
        <f>(S116*2+S116*3)*('Don gia XCSDL DC'!#REF!+'Don gia XCSDL DC'!#REF!+'Don gia XCSDL DC'!#REF!)</f>
        <v>#REF!</v>
      </c>
      <c r="AM116" s="609" t="e">
        <f>O116*'Don gia XCSDL DC'!#REF!*50%</f>
        <v>#REF!</v>
      </c>
      <c r="AN116" s="609" t="e">
        <f>T116*'Don gia XCSDL DC'!#REF!*$AN$8</f>
        <v>#REF!</v>
      </c>
      <c r="AO116" s="609" t="e">
        <f>U116*'Don gia XCSDL DC'!#REF!*1</f>
        <v>#REF!</v>
      </c>
      <c r="AP116" s="609" t="e">
        <f>P116*X116*'Don gia XCSDL DC'!#REF!</f>
        <v>#REF!</v>
      </c>
      <c r="AQ116" s="609" t="e">
        <f>Q116*$AQ$8*'Don gia XCSDL DC'!#REF!</f>
        <v>#REF!</v>
      </c>
      <c r="AR116" s="609" t="e">
        <f>M116*$AR$8*'Don gia XCSDL DC'!#REF!</f>
        <v>#REF!</v>
      </c>
      <c r="AS116" s="609" t="e">
        <f>J116*'Don gia XCSDL DC'!#REF!</f>
        <v>#REF!</v>
      </c>
      <c r="AT116" s="609">
        <f>D116*'Don gia XCSDL DC'!$K$26</f>
        <v>0</v>
      </c>
      <c r="AU116" s="609">
        <f>J116*'Don gia XCSDL DC'!$K$34</f>
        <v>0</v>
      </c>
      <c r="AV116" s="609">
        <f>O116*'Don gia XCSDL DC'!$K$37</f>
        <v>0</v>
      </c>
      <c r="AW116" s="610" t="e">
        <f t="shared" si="49"/>
        <v>#REF!</v>
      </c>
      <c r="AX116" s="611" t="e">
        <f t="shared" si="50"/>
        <v>#REF!</v>
      </c>
      <c r="AY116" s="806" t="e">
        <f t="shared" si="47"/>
        <v>#REF!</v>
      </c>
      <c r="AZ116" s="612" t="e">
        <f>D116*'Don gia XCSDL DC'!#REF!</f>
        <v>#REF!</v>
      </c>
      <c r="BA116" s="613" t="e">
        <f>(Q116+M116)*'Don gia XCSDL DC'!#REF!</f>
        <v>#REF!</v>
      </c>
    </row>
    <row r="117" spans="1:53" s="767" customFormat="1" ht="23.25" customHeight="1">
      <c r="A117" s="760"/>
      <c r="B117" s="761"/>
      <c r="C117" s="761" t="s">
        <v>380</v>
      </c>
      <c r="D117" s="762">
        <v>25</v>
      </c>
      <c r="E117" s="763">
        <v>25</v>
      </c>
      <c r="F117" s="763"/>
      <c r="G117" s="715">
        <v>1</v>
      </c>
      <c r="H117" s="763"/>
      <c r="I117" s="763"/>
      <c r="J117" s="717">
        <f>MIN(L117:Q117)</f>
        <v>85246</v>
      </c>
      <c r="K117" s="764"/>
      <c r="L117" s="765">
        <v>85246</v>
      </c>
      <c r="M117" s="766"/>
      <c r="N117" s="717"/>
      <c r="O117" s="717"/>
      <c r="P117" s="717"/>
      <c r="Q117" s="717"/>
      <c r="R117" s="717"/>
      <c r="S117" s="717"/>
      <c r="T117" s="717"/>
      <c r="U117" s="746"/>
      <c r="V117" s="717"/>
      <c r="W117" s="717"/>
      <c r="X117" s="721"/>
      <c r="Y117" s="722"/>
      <c r="AA117" s="609"/>
      <c r="AB117" s="609"/>
      <c r="AC117" s="609"/>
      <c r="AD117" s="724"/>
      <c r="AE117" s="724"/>
      <c r="AF117" s="724"/>
      <c r="AG117" s="724"/>
      <c r="AH117" s="724"/>
      <c r="AI117" s="724"/>
      <c r="AJ117" s="724"/>
      <c r="AK117" s="724"/>
      <c r="AL117" s="724"/>
      <c r="AM117" s="724"/>
      <c r="AN117" s="724"/>
      <c r="AO117" s="724"/>
      <c r="AP117" s="724"/>
      <c r="AQ117" s="724"/>
      <c r="AR117" s="724"/>
      <c r="AS117" s="724"/>
      <c r="AT117" s="724"/>
      <c r="AU117" s="724"/>
      <c r="AV117" s="609"/>
      <c r="AW117" s="610"/>
      <c r="AX117" s="611"/>
      <c r="AY117" s="807"/>
      <c r="AZ117" s="612"/>
      <c r="BA117" s="613"/>
    </row>
    <row r="118" spans="1:53" s="767" customFormat="1" ht="23.25" customHeight="1">
      <c r="A118" s="760"/>
      <c r="B118" s="761"/>
      <c r="C118" s="761" t="s">
        <v>381</v>
      </c>
      <c r="D118" s="762">
        <v>32</v>
      </c>
      <c r="E118" s="763">
        <v>32</v>
      </c>
      <c r="F118" s="763"/>
      <c r="G118" s="715">
        <v>1</v>
      </c>
      <c r="H118" s="763"/>
      <c r="I118" s="768"/>
      <c r="J118" s="769">
        <v>148811</v>
      </c>
      <c r="K118" s="764"/>
      <c r="L118" s="765">
        <v>148811</v>
      </c>
      <c r="M118" s="766"/>
      <c r="N118" s="717"/>
      <c r="O118" s="717"/>
      <c r="P118" s="717"/>
      <c r="Q118" s="717"/>
      <c r="R118" s="717"/>
      <c r="S118" s="717"/>
      <c r="T118" s="717"/>
      <c r="U118" s="746"/>
      <c r="V118" s="717"/>
      <c r="W118" s="717"/>
      <c r="X118" s="721"/>
      <c r="Y118" s="722"/>
      <c r="AA118" s="609"/>
      <c r="AB118" s="609"/>
      <c r="AC118" s="609"/>
      <c r="AD118" s="724"/>
      <c r="AE118" s="724"/>
      <c r="AF118" s="724"/>
      <c r="AG118" s="724"/>
      <c r="AH118" s="724"/>
      <c r="AI118" s="724"/>
      <c r="AJ118" s="724"/>
      <c r="AK118" s="724"/>
      <c r="AL118" s="724"/>
      <c r="AM118" s="724"/>
      <c r="AN118" s="724"/>
      <c r="AO118" s="724"/>
      <c r="AP118" s="724"/>
      <c r="AQ118" s="724"/>
      <c r="AR118" s="724"/>
      <c r="AS118" s="724"/>
      <c r="AT118" s="724"/>
      <c r="AU118" s="724"/>
      <c r="AV118" s="609"/>
      <c r="AW118" s="610"/>
      <c r="AX118" s="611"/>
      <c r="AY118" s="807"/>
      <c r="AZ118" s="612"/>
      <c r="BA118" s="613"/>
    </row>
    <row r="119" spans="1:53" s="598" customFormat="1" ht="24.75" customHeight="1">
      <c r="A119" s="589">
        <f>A108+1</f>
        <v>13</v>
      </c>
      <c r="B119" s="1945" t="s">
        <v>382</v>
      </c>
      <c r="C119" s="1945"/>
      <c r="D119" s="594"/>
      <c r="E119" s="595">
        <f>SUM(E120:E126)</f>
        <v>119</v>
      </c>
      <c r="F119" s="595">
        <f>SUM(F120:F126)</f>
        <v>7</v>
      </c>
      <c r="G119" s="596">
        <f>SUM(G120:G127)</f>
        <v>8</v>
      </c>
      <c r="H119" s="595">
        <v>8</v>
      </c>
      <c r="I119" s="595"/>
      <c r="J119" s="595">
        <f t="shared" ref="J119:Q119" si="62">SUM(J120:J126)</f>
        <v>625043</v>
      </c>
      <c r="K119" s="595">
        <f t="shared" si="62"/>
        <v>590043</v>
      </c>
      <c r="L119" s="595">
        <f t="shared" si="62"/>
        <v>590043</v>
      </c>
      <c r="M119" s="595">
        <f t="shared" si="62"/>
        <v>62504.299999999996</v>
      </c>
      <c r="N119" s="595">
        <f t="shared" si="62"/>
        <v>562538.69999999995</v>
      </c>
      <c r="O119" s="595">
        <f t="shared" si="62"/>
        <v>503472.13650000002</v>
      </c>
      <c r="P119" s="595">
        <f t="shared" si="62"/>
        <v>273730.39483333338</v>
      </c>
      <c r="Q119" s="595">
        <f t="shared" si="62"/>
        <v>59066.563500000004</v>
      </c>
      <c r="R119" s="595"/>
      <c r="S119" s="595">
        <f>SUM(S120:S126)</f>
        <v>315053</v>
      </c>
      <c r="T119" s="595">
        <f>SUM(T120:T126)</f>
        <v>24459.25</v>
      </c>
      <c r="U119" s="595">
        <f>SUM(U120:U126)</f>
        <v>205282.49166666667</v>
      </c>
      <c r="V119" s="595">
        <f>SUM(V120:V126)</f>
        <v>85311.258333333331</v>
      </c>
      <c r="W119" s="597">
        <v>0.89500000000000002</v>
      </c>
      <c r="X119" s="607">
        <f t="shared" si="38"/>
        <v>0.44633652054155776</v>
      </c>
      <c r="Y119" s="595">
        <f>SUM(Y120:Y126)</f>
        <v>3780636</v>
      </c>
      <c r="AA119" s="609"/>
      <c r="AB119" s="609"/>
      <c r="AC119" s="609"/>
      <c r="AD119" s="609"/>
      <c r="AE119" s="609"/>
      <c r="AF119" s="609"/>
      <c r="AG119" s="609"/>
      <c r="AH119" s="609"/>
      <c r="AI119" s="609"/>
      <c r="AJ119" s="609"/>
      <c r="AK119" s="609"/>
      <c r="AL119" s="609"/>
      <c r="AM119" s="609"/>
      <c r="AN119" s="609"/>
      <c r="AO119" s="609"/>
      <c r="AP119" s="609"/>
      <c r="AQ119" s="609"/>
      <c r="AR119" s="609"/>
      <c r="AS119" s="609"/>
      <c r="AT119" s="609"/>
      <c r="AU119" s="609"/>
      <c r="AV119" s="609"/>
      <c r="AW119" s="610"/>
      <c r="AX119" s="611"/>
      <c r="AY119" s="806"/>
      <c r="AZ119" s="612"/>
      <c r="BA119" s="613"/>
    </row>
    <row r="120" spans="1:53" ht="22.5" customHeight="1">
      <c r="A120" s="599"/>
      <c r="B120" s="445">
        <v>1</v>
      </c>
      <c r="C120" s="445" t="s">
        <v>383</v>
      </c>
      <c r="D120" s="600">
        <v>14</v>
      </c>
      <c r="E120" s="601">
        <v>14</v>
      </c>
      <c r="F120" s="601">
        <v>1</v>
      </c>
      <c r="G120" s="602">
        <v>1</v>
      </c>
      <c r="H120" s="601"/>
      <c r="I120" s="601"/>
      <c r="J120" s="636">
        <v>83049</v>
      </c>
      <c r="K120" s="604">
        <v>63049</v>
      </c>
      <c r="L120" s="604">
        <v>63049</v>
      </c>
      <c r="M120" s="605">
        <f t="shared" ref="M120:M126" si="63">J120*10%</f>
        <v>8304.9</v>
      </c>
      <c r="N120" s="604">
        <f t="shared" ref="N120:N126" si="64">J120-M120</f>
        <v>74744.100000000006</v>
      </c>
      <c r="O120" s="604">
        <f t="shared" ref="O120:O126" si="65">$N120*$W$119</f>
        <v>66895.969500000007</v>
      </c>
      <c r="P120" s="604">
        <f t="shared" ref="P120:P126" si="66">O120-T120-U120</f>
        <v>30048.96950000001</v>
      </c>
      <c r="Q120" s="604">
        <f t="shared" ref="Q120:Q126" si="67">N120-O120</f>
        <v>7848.1304999999993</v>
      </c>
      <c r="R120" s="604"/>
      <c r="S120" s="621">
        <v>50226</v>
      </c>
      <c r="T120" s="603">
        <f>S120*0.2</f>
        <v>10045.200000000001</v>
      </c>
      <c r="U120" s="636">
        <f>110541/3-T120</f>
        <v>26801.8</v>
      </c>
      <c r="V120" s="603">
        <f t="shared" ref="V120:V126" si="68">S120-T120-U120</f>
        <v>13379.000000000004</v>
      </c>
      <c r="W120" s="603"/>
      <c r="X120" s="607">
        <f t="shared" si="38"/>
        <v>0.55377991487325806</v>
      </c>
      <c r="Y120" s="608">
        <f t="shared" ref="Y120:Y126" si="69">S120*12</f>
        <v>602712</v>
      </c>
      <c r="AA120" s="609">
        <f>D120*'Don gia XCSDL DC'!$K$8</f>
        <v>6457.6410467466158</v>
      </c>
      <c r="AB120" s="609">
        <f>D120*'Don gia XCSDL DC'!$K$9</f>
        <v>6161.3768967466167</v>
      </c>
      <c r="AC120" s="609" t="e">
        <f>D120*'Don gia XCSDL DC'!#REF!</f>
        <v>#REF!</v>
      </c>
      <c r="AD120" s="609">
        <f>D120*'Don gia XCSDL DC'!$K$10</f>
        <v>24810.180553707127</v>
      </c>
      <c r="AE120" s="609">
        <f>J120*'Don gia XCSDL DC'!$K$11</f>
        <v>0</v>
      </c>
      <c r="AF120" s="609" t="e">
        <f>S120*'Don gia XCSDL DC'!#REF!</f>
        <v>#REF!</v>
      </c>
      <c r="AG120" s="609" t="e">
        <f>D120*'Don gia XCSDL DC'!#REF!</f>
        <v>#REF!</v>
      </c>
      <c r="AH120" s="609" t="e">
        <f>J120*'Don gia XCSDL DC'!#REF!</f>
        <v>#REF!</v>
      </c>
      <c r="AI120" s="609" t="e">
        <f>D120*'Don gia XCSDL DC'!#REF!</f>
        <v>#REF!</v>
      </c>
      <c r="AJ120" s="609">
        <f>S120*2*'Don gia XCSDL DC'!$K$24</f>
        <v>858923659.38401198</v>
      </c>
      <c r="AK120" s="609" t="e">
        <f>S120*3*'Don gia XCSDL DC'!#REF!</f>
        <v>#REF!</v>
      </c>
      <c r="AL120" s="609" t="e">
        <f>(S120*2+S120*3)*('Don gia XCSDL DC'!#REF!+'Don gia XCSDL DC'!#REF!+'Don gia XCSDL DC'!#REF!)</f>
        <v>#REF!</v>
      </c>
      <c r="AM120" s="609" t="e">
        <f>O120*'Don gia XCSDL DC'!#REF!*50%</f>
        <v>#REF!</v>
      </c>
      <c r="AN120" s="609" t="e">
        <f>T120*'Don gia XCSDL DC'!#REF!*$AN$8</f>
        <v>#REF!</v>
      </c>
      <c r="AO120" s="609" t="e">
        <f>U120*'Don gia XCSDL DC'!#REF!*1</f>
        <v>#REF!</v>
      </c>
      <c r="AP120" s="609" t="e">
        <f>P120*X120*'Don gia XCSDL DC'!#REF!</f>
        <v>#REF!</v>
      </c>
      <c r="AQ120" s="609" t="e">
        <f>Q120*$AQ$8*'Don gia XCSDL DC'!#REF!</f>
        <v>#REF!</v>
      </c>
      <c r="AR120" s="609" t="e">
        <f>M120*$AR$8*'Don gia XCSDL DC'!#REF!</f>
        <v>#REF!</v>
      </c>
      <c r="AS120" s="609" t="e">
        <f>J120*'Don gia XCSDL DC'!#REF!</f>
        <v>#REF!</v>
      </c>
      <c r="AT120" s="609">
        <f>D120*'Don gia XCSDL DC'!$K$26</f>
        <v>0</v>
      </c>
      <c r="AU120" s="609">
        <f>J120*'Don gia XCSDL DC'!$K$34</f>
        <v>0</v>
      </c>
      <c r="AV120" s="609">
        <f>O120*'Don gia XCSDL DC'!$K$37</f>
        <v>0</v>
      </c>
      <c r="AW120" s="610" t="e">
        <f t="shared" si="49"/>
        <v>#REF!</v>
      </c>
      <c r="AX120" s="611" t="e">
        <f t="shared" si="50"/>
        <v>#REF!</v>
      </c>
      <c r="AY120" s="806" t="e">
        <f t="shared" si="47"/>
        <v>#REF!</v>
      </c>
      <c r="AZ120" s="612" t="e">
        <f>D120*'Don gia XCSDL DC'!#REF!</f>
        <v>#REF!</v>
      </c>
      <c r="BA120" s="613" t="e">
        <f>(Q120+M120)*'Don gia XCSDL DC'!#REF!</f>
        <v>#REF!</v>
      </c>
    </row>
    <row r="121" spans="1:53" ht="23.25" customHeight="1">
      <c r="A121" s="599"/>
      <c r="B121" s="445">
        <v>2</v>
      </c>
      <c r="C121" s="445" t="s">
        <v>384</v>
      </c>
      <c r="D121" s="600">
        <v>9</v>
      </c>
      <c r="E121" s="601">
        <v>9</v>
      </c>
      <c r="F121" s="601">
        <v>1</v>
      </c>
      <c r="G121" s="602">
        <v>1</v>
      </c>
      <c r="H121" s="601"/>
      <c r="I121" s="601"/>
      <c r="J121" s="621">
        <v>48026</v>
      </c>
      <c r="K121" s="604">
        <v>48026</v>
      </c>
      <c r="L121" s="604">
        <v>48026</v>
      </c>
      <c r="M121" s="605">
        <f t="shared" si="63"/>
        <v>4802.6000000000004</v>
      </c>
      <c r="N121" s="604">
        <f t="shared" si="64"/>
        <v>43223.4</v>
      </c>
      <c r="O121" s="604">
        <f t="shared" si="65"/>
        <v>38684.942999999999</v>
      </c>
      <c r="P121" s="604">
        <f t="shared" si="66"/>
        <v>27680.742999999995</v>
      </c>
      <c r="Q121" s="604">
        <f t="shared" si="67"/>
        <v>4538.4570000000022</v>
      </c>
      <c r="R121" s="604"/>
      <c r="S121" s="621">
        <v>23454</v>
      </c>
      <c r="T121" s="604">
        <f>S121*0.1</f>
        <v>2345.4</v>
      </c>
      <c r="U121" s="621">
        <f>55021/5-T121</f>
        <v>8658.8000000000011</v>
      </c>
      <c r="V121" s="604">
        <f t="shared" si="68"/>
        <v>12449.799999999997</v>
      </c>
      <c r="W121" s="604"/>
      <c r="X121" s="607">
        <f t="shared" si="38"/>
        <v>0.55741882032197088</v>
      </c>
      <c r="Y121" s="608">
        <f t="shared" si="69"/>
        <v>281448</v>
      </c>
      <c r="AA121" s="609">
        <f>D121*'Don gia XCSDL DC'!$K$8</f>
        <v>4151.3406729085382</v>
      </c>
      <c r="AB121" s="609">
        <f>D121*'Don gia XCSDL DC'!$K$9</f>
        <v>3960.8851479085388</v>
      </c>
      <c r="AC121" s="609" t="e">
        <f>D121*'Don gia XCSDL DC'!#REF!</f>
        <v>#REF!</v>
      </c>
      <c r="AD121" s="609">
        <f>D121*'Don gia XCSDL DC'!$K$10</f>
        <v>15949.40178452601</v>
      </c>
      <c r="AE121" s="609">
        <f>J121*'Don gia XCSDL DC'!$K$11</f>
        <v>0</v>
      </c>
      <c r="AF121" s="609" t="e">
        <f>S121*'Don gia XCSDL DC'!#REF!</f>
        <v>#REF!</v>
      </c>
      <c r="AG121" s="609" t="e">
        <f>D121*'Don gia XCSDL DC'!#REF!</f>
        <v>#REF!</v>
      </c>
      <c r="AH121" s="609" t="e">
        <f>J121*'Don gia XCSDL DC'!#REF!</f>
        <v>#REF!</v>
      </c>
      <c r="AI121" s="609" t="e">
        <f>D121*'Don gia XCSDL DC'!#REF!</f>
        <v>#REF!</v>
      </c>
      <c r="AJ121" s="609">
        <f>S121*2*'Don gia XCSDL DC'!$K$24</f>
        <v>401090978.91913784</v>
      </c>
      <c r="AK121" s="609" t="e">
        <f>S121*3*'Don gia XCSDL DC'!#REF!</f>
        <v>#REF!</v>
      </c>
      <c r="AL121" s="609" t="e">
        <f>(S121*2+S121*3)*('Don gia XCSDL DC'!#REF!+'Don gia XCSDL DC'!#REF!+'Don gia XCSDL DC'!#REF!)</f>
        <v>#REF!</v>
      </c>
      <c r="AM121" s="609" t="e">
        <f>O121*'Don gia XCSDL DC'!#REF!*50%</f>
        <v>#REF!</v>
      </c>
      <c r="AN121" s="609" t="e">
        <f>T121*'Don gia XCSDL DC'!#REF!*$AN$8</f>
        <v>#REF!</v>
      </c>
      <c r="AO121" s="609" t="e">
        <f>U121*'Don gia XCSDL DC'!#REF!*1</f>
        <v>#REF!</v>
      </c>
      <c r="AP121" s="609" t="e">
        <f>P121*X121*'Don gia XCSDL DC'!#REF!</f>
        <v>#REF!</v>
      </c>
      <c r="AQ121" s="609" t="e">
        <f>Q121*$AQ$8*'Don gia XCSDL DC'!#REF!</f>
        <v>#REF!</v>
      </c>
      <c r="AR121" s="609" t="e">
        <f>M121*$AR$8*'Don gia XCSDL DC'!#REF!</f>
        <v>#REF!</v>
      </c>
      <c r="AS121" s="609" t="e">
        <f>J121*'Don gia XCSDL DC'!#REF!</f>
        <v>#REF!</v>
      </c>
      <c r="AT121" s="609">
        <f>D121*'Don gia XCSDL DC'!$K$26</f>
        <v>0</v>
      </c>
      <c r="AU121" s="609">
        <f>J121*'Don gia XCSDL DC'!$K$34</f>
        <v>0</v>
      </c>
      <c r="AV121" s="609">
        <f>O121*'Don gia XCSDL DC'!$K$37</f>
        <v>0</v>
      </c>
      <c r="AW121" s="610" t="e">
        <f t="shared" si="49"/>
        <v>#REF!</v>
      </c>
      <c r="AX121" s="611" t="e">
        <f t="shared" si="50"/>
        <v>#REF!</v>
      </c>
      <c r="AY121" s="806" t="e">
        <f t="shared" si="47"/>
        <v>#REF!</v>
      </c>
      <c r="AZ121" s="612" t="e">
        <f>D121*'Don gia XCSDL DC'!#REF!</f>
        <v>#REF!</v>
      </c>
      <c r="BA121" s="613" t="e">
        <f>(Q121+M121)*'Don gia XCSDL DC'!#REF!</f>
        <v>#REF!</v>
      </c>
    </row>
    <row r="122" spans="1:53" ht="23.25" customHeight="1">
      <c r="A122" s="599"/>
      <c r="B122" s="445">
        <v>3</v>
      </c>
      <c r="C122" s="445" t="s">
        <v>385</v>
      </c>
      <c r="D122" s="600">
        <v>19</v>
      </c>
      <c r="E122" s="629">
        <v>20</v>
      </c>
      <c r="F122" s="601">
        <v>1</v>
      </c>
      <c r="G122" s="602">
        <v>1</v>
      </c>
      <c r="H122" s="601"/>
      <c r="I122" s="601"/>
      <c r="J122" s="621">
        <v>178586</v>
      </c>
      <c r="K122" s="604">
        <v>178586</v>
      </c>
      <c r="L122" s="604">
        <v>178586</v>
      </c>
      <c r="M122" s="605">
        <f t="shared" si="63"/>
        <v>17858.600000000002</v>
      </c>
      <c r="N122" s="604">
        <f t="shared" si="64"/>
        <v>160727.4</v>
      </c>
      <c r="O122" s="604">
        <f t="shared" si="65"/>
        <v>143851.02299999999</v>
      </c>
      <c r="P122" s="604">
        <f t="shared" si="66"/>
        <v>117167.02299999999</v>
      </c>
      <c r="Q122" s="604">
        <f t="shared" si="67"/>
        <v>16876.377000000008</v>
      </c>
      <c r="R122" s="604"/>
      <c r="S122" s="621">
        <v>42542</v>
      </c>
      <c r="T122" s="604">
        <f>S122*0.05</f>
        <v>2127.1</v>
      </c>
      <c r="U122" s="621">
        <f>133420/5-T122</f>
        <v>24556.9</v>
      </c>
      <c r="V122" s="604">
        <f t="shared" si="68"/>
        <v>15858</v>
      </c>
      <c r="W122" s="604"/>
      <c r="X122" s="607">
        <f t="shared" si="38"/>
        <v>0.30451683138656283</v>
      </c>
      <c r="Y122" s="608">
        <f t="shared" si="69"/>
        <v>510504</v>
      </c>
      <c r="AA122" s="609">
        <f>D122*'Don gia XCSDL DC'!$K$8</f>
        <v>8763.9414205846915</v>
      </c>
      <c r="AB122" s="609">
        <f>D122*'Don gia XCSDL DC'!$K$9</f>
        <v>8361.8686455846928</v>
      </c>
      <c r="AC122" s="609" t="e">
        <f>D122*'Don gia XCSDL DC'!#REF!</f>
        <v>#REF!</v>
      </c>
      <c r="AD122" s="609">
        <f>D122*'Don gia XCSDL DC'!$K$10</f>
        <v>33670.959322888244</v>
      </c>
      <c r="AE122" s="609">
        <f>J122*'Don gia XCSDL DC'!$K$11</f>
        <v>0</v>
      </c>
      <c r="AF122" s="609" t="e">
        <f>S122*'Don gia XCSDL DC'!#REF!</f>
        <v>#REF!</v>
      </c>
      <c r="AG122" s="609" t="e">
        <f>D122*'Don gia XCSDL DC'!#REF!</f>
        <v>#REF!</v>
      </c>
      <c r="AH122" s="609" t="e">
        <f>J122*'Don gia XCSDL DC'!#REF!</f>
        <v>#REF!</v>
      </c>
      <c r="AI122" s="609" t="e">
        <f>D122*'Don gia XCSDL DC'!#REF!</f>
        <v>#REF!</v>
      </c>
      <c r="AJ122" s="609">
        <f>S122*2*'Don gia XCSDL DC'!$K$24</f>
        <v>727518223.97791255</v>
      </c>
      <c r="AK122" s="609" t="e">
        <f>S122*3*'Don gia XCSDL DC'!#REF!</f>
        <v>#REF!</v>
      </c>
      <c r="AL122" s="609" t="e">
        <f>(S122*2+S122*3)*('Don gia XCSDL DC'!#REF!+'Don gia XCSDL DC'!#REF!+'Don gia XCSDL DC'!#REF!)</f>
        <v>#REF!</v>
      </c>
      <c r="AM122" s="609" t="e">
        <f>O122*'Don gia XCSDL DC'!#REF!*50%</f>
        <v>#REF!</v>
      </c>
      <c r="AN122" s="609" t="e">
        <f>T122*'Don gia XCSDL DC'!#REF!*$AN$8</f>
        <v>#REF!</v>
      </c>
      <c r="AO122" s="609" t="e">
        <f>U122*'Don gia XCSDL DC'!#REF!*1</f>
        <v>#REF!</v>
      </c>
      <c r="AP122" s="609" t="e">
        <f>P122*X122*'Don gia XCSDL DC'!#REF!</f>
        <v>#REF!</v>
      </c>
      <c r="AQ122" s="609" t="e">
        <f>Q122*$AQ$8*'Don gia XCSDL DC'!#REF!</f>
        <v>#REF!</v>
      </c>
      <c r="AR122" s="609" t="e">
        <f>M122*$AR$8*'Don gia XCSDL DC'!#REF!</f>
        <v>#REF!</v>
      </c>
      <c r="AS122" s="609" t="e">
        <f>J122*'Don gia XCSDL DC'!#REF!</f>
        <v>#REF!</v>
      </c>
      <c r="AT122" s="609">
        <f>D122*'Don gia XCSDL DC'!$K$26</f>
        <v>0</v>
      </c>
      <c r="AU122" s="609">
        <f>J122*'Don gia XCSDL DC'!$K$34</f>
        <v>0</v>
      </c>
      <c r="AV122" s="609">
        <f>O122*'Don gia XCSDL DC'!$K$37</f>
        <v>0</v>
      </c>
      <c r="AW122" s="610" t="e">
        <f t="shared" si="49"/>
        <v>#REF!</v>
      </c>
      <c r="AX122" s="611" t="e">
        <f t="shared" si="50"/>
        <v>#REF!</v>
      </c>
      <c r="AY122" s="806" t="e">
        <f t="shared" si="47"/>
        <v>#REF!</v>
      </c>
      <c r="AZ122" s="612" t="e">
        <f>D122*'Don gia XCSDL DC'!#REF!</f>
        <v>#REF!</v>
      </c>
      <c r="BA122" s="613" t="e">
        <f>(Q122+M122)*'Don gia XCSDL DC'!#REF!</f>
        <v>#REF!</v>
      </c>
    </row>
    <row r="123" spans="1:53" ht="23.25" customHeight="1">
      <c r="A123" s="599"/>
      <c r="B123" s="445">
        <v>4</v>
      </c>
      <c r="C123" s="445" t="s">
        <v>386</v>
      </c>
      <c r="D123" s="600">
        <v>27</v>
      </c>
      <c r="E123" s="601">
        <v>27</v>
      </c>
      <c r="F123" s="601">
        <v>1</v>
      </c>
      <c r="G123" s="602">
        <v>1</v>
      </c>
      <c r="H123" s="601"/>
      <c r="I123" s="601"/>
      <c r="J123" s="621">
        <v>107107</v>
      </c>
      <c r="K123" s="604">
        <v>107107</v>
      </c>
      <c r="L123" s="604">
        <v>107107</v>
      </c>
      <c r="M123" s="605">
        <f t="shared" si="63"/>
        <v>10710.7</v>
      </c>
      <c r="N123" s="604">
        <f t="shared" si="64"/>
        <v>96396.3</v>
      </c>
      <c r="O123" s="604">
        <f t="shared" si="65"/>
        <v>86274.688500000004</v>
      </c>
      <c r="P123" s="604">
        <f t="shared" si="66"/>
        <v>38580.355166666668</v>
      </c>
      <c r="Q123" s="604">
        <f t="shared" si="67"/>
        <v>10121.611499999999</v>
      </c>
      <c r="R123" s="604"/>
      <c r="S123" s="621">
        <v>65496</v>
      </c>
      <c r="T123" s="604">
        <f>S123*0.05</f>
        <v>3274.8</v>
      </c>
      <c r="U123" s="621">
        <f>143083/3-T123</f>
        <v>44419.533333333333</v>
      </c>
      <c r="V123" s="604">
        <f t="shared" si="68"/>
        <v>17801.666666666664</v>
      </c>
      <c r="W123" s="604"/>
      <c r="X123" s="607">
        <f t="shared" si="38"/>
        <v>0.56679266295730502</v>
      </c>
      <c r="Y123" s="608">
        <f t="shared" si="69"/>
        <v>785952</v>
      </c>
      <c r="AA123" s="609">
        <f>D123*'Don gia XCSDL DC'!$K$8</f>
        <v>12454.022018725615</v>
      </c>
      <c r="AB123" s="609">
        <f>D123*'Don gia XCSDL DC'!$K$9</f>
        <v>11882.655443725616</v>
      </c>
      <c r="AC123" s="609" t="e">
        <f>D123*'Don gia XCSDL DC'!#REF!</f>
        <v>#REF!</v>
      </c>
      <c r="AD123" s="609">
        <f>D123*'Don gia XCSDL DC'!$K$10</f>
        <v>47848.205353578029</v>
      </c>
      <c r="AE123" s="609">
        <f>J123*'Don gia XCSDL DC'!$K$11</f>
        <v>0</v>
      </c>
      <c r="AF123" s="609" t="e">
        <f>S123*'Don gia XCSDL DC'!#REF!</f>
        <v>#REF!</v>
      </c>
      <c r="AG123" s="609" t="e">
        <f>D123*'Don gia XCSDL DC'!#REF!</f>
        <v>#REF!</v>
      </c>
      <c r="AH123" s="609" t="e">
        <f>J123*'Don gia XCSDL DC'!#REF!</f>
        <v>#REF!</v>
      </c>
      <c r="AI123" s="609" t="e">
        <f>D123*'Don gia XCSDL DC'!#REF!</f>
        <v>#REF!</v>
      </c>
      <c r="AJ123" s="609">
        <f>S123*2*'Don gia XCSDL DC'!$K$24</f>
        <v>1120058614.9606826</v>
      </c>
      <c r="AK123" s="609" t="e">
        <f>S123*3*'Don gia XCSDL DC'!#REF!</f>
        <v>#REF!</v>
      </c>
      <c r="AL123" s="609" t="e">
        <f>(S123*2+S123*3)*('Don gia XCSDL DC'!#REF!+'Don gia XCSDL DC'!#REF!+'Don gia XCSDL DC'!#REF!)</f>
        <v>#REF!</v>
      </c>
      <c r="AM123" s="609" t="e">
        <f>O123*'Don gia XCSDL DC'!#REF!*50%</f>
        <v>#REF!</v>
      </c>
      <c r="AN123" s="609" t="e">
        <f>T123*'Don gia XCSDL DC'!#REF!*$AN$8</f>
        <v>#REF!</v>
      </c>
      <c r="AO123" s="609" t="e">
        <f>U123*'Don gia XCSDL DC'!#REF!*1</f>
        <v>#REF!</v>
      </c>
      <c r="AP123" s="609" t="e">
        <f>P123*X123*'Don gia XCSDL DC'!#REF!</f>
        <v>#REF!</v>
      </c>
      <c r="AQ123" s="609" t="e">
        <f>Q123*$AQ$8*'Don gia XCSDL DC'!#REF!</f>
        <v>#REF!</v>
      </c>
      <c r="AR123" s="609" t="e">
        <f>M123*$AR$8*'Don gia XCSDL DC'!#REF!</f>
        <v>#REF!</v>
      </c>
      <c r="AS123" s="609" t="e">
        <f>J123*'Don gia XCSDL DC'!#REF!</f>
        <v>#REF!</v>
      </c>
      <c r="AT123" s="609">
        <f>D123*'Don gia XCSDL DC'!$K$26</f>
        <v>0</v>
      </c>
      <c r="AU123" s="609">
        <f>J123*'Don gia XCSDL DC'!$K$34</f>
        <v>0</v>
      </c>
      <c r="AV123" s="609">
        <f>O123*'Don gia XCSDL DC'!$K$37</f>
        <v>0</v>
      </c>
      <c r="AW123" s="610" t="e">
        <f t="shared" si="49"/>
        <v>#REF!</v>
      </c>
      <c r="AX123" s="611" t="e">
        <f t="shared" si="50"/>
        <v>#REF!</v>
      </c>
      <c r="AY123" s="806" t="e">
        <f t="shared" si="47"/>
        <v>#REF!</v>
      </c>
      <c r="AZ123" s="612" t="e">
        <f>D123*'Don gia XCSDL DC'!#REF!</f>
        <v>#REF!</v>
      </c>
      <c r="BA123" s="613" t="e">
        <f>(Q123+M123)*'Don gia XCSDL DC'!#REF!</f>
        <v>#REF!</v>
      </c>
    </row>
    <row r="124" spans="1:53" ht="23.25" customHeight="1">
      <c r="A124" s="599"/>
      <c r="B124" s="445">
        <v>5</v>
      </c>
      <c r="C124" s="445" t="s">
        <v>387</v>
      </c>
      <c r="D124" s="600">
        <v>17</v>
      </c>
      <c r="E124" s="601">
        <v>17</v>
      </c>
      <c r="F124" s="601">
        <v>1</v>
      </c>
      <c r="G124" s="602">
        <v>1</v>
      </c>
      <c r="H124" s="601"/>
      <c r="I124" s="601"/>
      <c r="J124" s="621">
        <v>65042</v>
      </c>
      <c r="K124" s="604">
        <v>65042</v>
      </c>
      <c r="L124" s="604">
        <v>65042</v>
      </c>
      <c r="M124" s="605">
        <f t="shared" si="63"/>
        <v>6504.2000000000007</v>
      </c>
      <c r="N124" s="604">
        <f t="shared" si="64"/>
        <v>58537.8</v>
      </c>
      <c r="O124" s="604">
        <f t="shared" si="65"/>
        <v>52391.331000000006</v>
      </c>
      <c r="P124" s="604">
        <f t="shared" si="66"/>
        <v>24815.331000000006</v>
      </c>
      <c r="Q124" s="604">
        <f t="shared" si="67"/>
        <v>6146.4689999999973</v>
      </c>
      <c r="R124" s="604"/>
      <c r="S124" s="621">
        <v>37802</v>
      </c>
      <c r="T124" s="604">
        <f>S124*0.05</f>
        <v>1890.1000000000001</v>
      </c>
      <c r="U124" s="621">
        <f>110304/4-T124</f>
        <v>25685.9</v>
      </c>
      <c r="V124" s="604">
        <f t="shared" si="68"/>
        <v>10226</v>
      </c>
      <c r="W124" s="604"/>
      <c r="X124" s="607">
        <f t="shared" si="38"/>
        <v>0.5271110156091392</v>
      </c>
      <c r="Y124" s="608">
        <f t="shared" si="69"/>
        <v>453624</v>
      </c>
      <c r="AA124" s="609">
        <f>D124*'Don gia XCSDL DC'!$K$8</f>
        <v>7841.4212710494612</v>
      </c>
      <c r="AB124" s="609">
        <f>D124*'Don gia XCSDL DC'!$K$9</f>
        <v>7481.6719460494623</v>
      </c>
      <c r="AC124" s="609" t="e">
        <f>D124*'Don gia XCSDL DC'!#REF!</f>
        <v>#REF!</v>
      </c>
      <c r="AD124" s="609">
        <f>D124*'Don gia XCSDL DC'!$K$10</f>
        <v>30126.647815215798</v>
      </c>
      <c r="AE124" s="609">
        <f>J124*'Don gia XCSDL DC'!$K$11</f>
        <v>0</v>
      </c>
      <c r="AF124" s="609" t="e">
        <f>S124*'Don gia XCSDL DC'!#REF!</f>
        <v>#REF!</v>
      </c>
      <c r="AG124" s="609" t="e">
        <f>D124*'Don gia XCSDL DC'!#REF!</f>
        <v>#REF!</v>
      </c>
      <c r="AH124" s="609" t="e">
        <f>J124*'Don gia XCSDL DC'!#REF!</f>
        <v>#REF!</v>
      </c>
      <c r="AI124" s="609" t="e">
        <f>D124*'Don gia XCSDL DC'!#REF!</f>
        <v>#REF!</v>
      </c>
      <c r="AJ124" s="609">
        <f>S124*2*'Don gia XCSDL DC'!$K$24</f>
        <v>646458650.34114647</v>
      </c>
      <c r="AK124" s="609" t="e">
        <f>S124*3*'Don gia XCSDL DC'!#REF!</f>
        <v>#REF!</v>
      </c>
      <c r="AL124" s="609" t="e">
        <f>(S124*2+S124*3)*('Don gia XCSDL DC'!#REF!+'Don gia XCSDL DC'!#REF!+'Don gia XCSDL DC'!#REF!)</f>
        <v>#REF!</v>
      </c>
      <c r="AM124" s="609" t="e">
        <f>O124*'Don gia XCSDL DC'!#REF!*50%</f>
        <v>#REF!</v>
      </c>
      <c r="AN124" s="609" t="e">
        <f>T124*'Don gia XCSDL DC'!#REF!*$AN$8</f>
        <v>#REF!</v>
      </c>
      <c r="AO124" s="609" t="e">
        <f>U124*'Don gia XCSDL DC'!#REF!*1</f>
        <v>#REF!</v>
      </c>
      <c r="AP124" s="609" t="e">
        <f>P124*X124*'Don gia XCSDL DC'!#REF!</f>
        <v>#REF!</v>
      </c>
      <c r="AQ124" s="609" t="e">
        <f>Q124*$AQ$8*'Don gia XCSDL DC'!#REF!</f>
        <v>#REF!</v>
      </c>
      <c r="AR124" s="609" t="e">
        <f>M124*$AR$8*'Don gia XCSDL DC'!#REF!</f>
        <v>#REF!</v>
      </c>
      <c r="AS124" s="609" t="e">
        <f>J124*'Don gia XCSDL DC'!#REF!</f>
        <v>#REF!</v>
      </c>
      <c r="AT124" s="609">
        <f>D124*'Don gia XCSDL DC'!$K$26</f>
        <v>0</v>
      </c>
      <c r="AU124" s="609">
        <f>J124*'Don gia XCSDL DC'!$K$34</f>
        <v>0</v>
      </c>
      <c r="AV124" s="609">
        <f>O124*'Don gia XCSDL DC'!$K$37</f>
        <v>0</v>
      </c>
      <c r="AW124" s="610" t="e">
        <f t="shared" si="49"/>
        <v>#REF!</v>
      </c>
      <c r="AX124" s="611" t="e">
        <f t="shared" si="50"/>
        <v>#REF!</v>
      </c>
      <c r="AY124" s="806" t="e">
        <f t="shared" si="47"/>
        <v>#REF!</v>
      </c>
      <c r="AZ124" s="612" t="e">
        <f>D124*'Don gia XCSDL DC'!#REF!</f>
        <v>#REF!</v>
      </c>
      <c r="BA124" s="613" t="e">
        <f>(Q124+M124)*'Don gia XCSDL DC'!#REF!</f>
        <v>#REF!</v>
      </c>
    </row>
    <row r="125" spans="1:53" ht="23.25" customHeight="1">
      <c r="A125" s="599"/>
      <c r="B125" s="445">
        <v>6</v>
      </c>
      <c r="C125" s="445" t="s">
        <v>388</v>
      </c>
      <c r="D125" s="600">
        <v>11</v>
      </c>
      <c r="E125" s="601">
        <v>11</v>
      </c>
      <c r="F125" s="601">
        <v>1</v>
      </c>
      <c r="G125" s="602">
        <v>1</v>
      </c>
      <c r="H125" s="601"/>
      <c r="I125" s="601"/>
      <c r="J125" s="636">
        <v>65362</v>
      </c>
      <c r="K125" s="604">
        <v>50362</v>
      </c>
      <c r="L125" s="604">
        <v>50362</v>
      </c>
      <c r="M125" s="605">
        <f t="shared" si="63"/>
        <v>6536.2000000000007</v>
      </c>
      <c r="N125" s="604">
        <f t="shared" si="64"/>
        <v>58825.8</v>
      </c>
      <c r="O125" s="604">
        <f t="shared" si="65"/>
        <v>52649.091</v>
      </c>
      <c r="P125" s="604">
        <f t="shared" si="66"/>
        <v>11282.216</v>
      </c>
      <c r="Q125" s="604">
        <f t="shared" si="67"/>
        <v>6176.7090000000026</v>
      </c>
      <c r="R125" s="604"/>
      <c r="S125" s="621">
        <v>45189</v>
      </c>
      <c r="T125" s="603">
        <f>S125*0.05</f>
        <v>2259.4500000000003</v>
      </c>
      <c r="U125" s="636">
        <f>66187/1.6-T125</f>
        <v>39107.425000000003</v>
      </c>
      <c r="V125" s="603">
        <f t="shared" si="68"/>
        <v>3822.125</v>
      </c>
      <c r="W125" s="603"/>
      <c r="X125" s="607">
        <f t="shared" si="38"/>
        <v>0.4681445579254227</v>
      </c>
      <c r="Y125" s="608">
        <f t="shared" si="69"/>
        <v>542268</v>
      </c>
      <c r="AA125" s="609">
        <f>D125*'Don gia XCSDL DC'!$K$8</f>
        <v>5073.8608224437694</v>
      </c>
      <c r="AB125" s="609">
        <f>D125*'Don gia XCSDL DC'!$K$9</f>
        <v>4841.0818474437701</v>
      </c>
      <c r="AC125" s="609" t="e">
        <f>D125*'Don gia XCSDL DC'!#REF!</f>
        <v>#REF!</v>
      </c>
      <c r="AD125" s="609">
        <f>D125*'Don gia XCSDL DC'!$K$10</f>
        <v>19493.713292198456</v>
      </c>
      <c r="AE125" s="609">
        <f>J125*'Don gia XCSDL DC'!$K$11</f>
        <v>0</v>
      </c>
      <c r="AF125" s="609" t="e">
        <f>S125*'Don gia XCSDL DC'!#REF!</f>
        <v>#REF!</v>
      </c>
      <c r="AG125" s="609" t="e">
        <f>D125*'Don gia XCSDL DC'!#REF!</f>
        <v>#REF!</v>
      </c>
      <c r="AH125" s="609" t="e">
        <f>J125*'Don gia XCSDL DC'!#REF!</f>
        <v>#REF!</v>
      </c>
      <c r="AI125" s="609" t="e">
        <f>D125*'Don gia XCSDL DC'!#REF!</f>
        <v>#REF!</v>
      </c>
      <c r="AJ125" s="609">
        <f>S125*2*'Don gia XCSDL DC'!$K$24</f>
        <v>772785036.5130434</v>
      </c>
      <c r="AK125" s="609" t="e">
        <f>S125*3*'Don gia XCSDL DC'!#REF!</f>
        <v>#REF!</v>
      </c>
      <c r="AL125" s="609" t="e">
        <f>(S125*2+S125*3)*('Don gia XCSDL DC'!#REF!+'Don gia XCSDL DC'!#REF!+'Don gia XCSDL DC'!#REF!)</f>
        <v>#REF!</v>
      </c>
      <c r="AM125" s="609" t="e">
        <f>O125*'Don gia XCSDL DC'!#REF!*50%</f>
        <v>#REF!</v>
      </c>
      <c r="AN125" s="609" t="e">
        <f>T125*'Don gia XCSDL DC'!#REF!*$AN$8</f>
        <v>#REF!</v>
      </c>
      <c r="AO125" s="609" t="e">
        <f>U125*'Don gia XCSDL DC'!#REF!*1</f>
        <v>#REF!</v>
      </c>
      <c r="AP125" s="609" t="e">
        <f>P125*X125*'Don gia XCSDL DC'!#REF!</f>
        <v>#REF!</v>
      </c>
      <c r="AQ125" s="609" t="e">
        <f>Q125*$AQ$8*'Don gia XCSDL DC'!#REF!</f>
        <v>#REF!</v>
      </c>
      <c r="AR125" s="609" t="e">
        <f>M125*$AR$8*'Don gia XCSDL DC'!#REF!</f>
        <v>#REF!</v>
      </c>
      <c r="AS125" s="609" t="e">
        <f>J125*'Don gia XCSDL DC'!#REF!</f>
        <v>#REF!</v>
      </c>
      <c r="AT125" s="609">
        <f>D125*'Don gia XCSDL DC'!$K$26</f>
        <v>0</v>
      </c>
      <c r="AU125" s="609">
        <f>J125*'Don gia XCSDL DC'!$K$34</f>
        <v>0</v>
      </c>
      <c r="AV125" s="609">
        <f>O125*'Don gia XCSDL DC'!$K$37</f>
        <v>0</v>
      </c>
      <c r="AW125" s="610" t="e">
        <f t="shared" si="49"/>
        <v>#REF!</v>
      </c>
      <c r="AX125" s="611" t="e">
        <f t="shared" si="50"/>
        <v>#REF!</v>
      </c>
      <c r="AY125" s="806" t="e">
        <f t="shared" si="47"/>
        <v>#REF!</v>
      </c>
      <c r="AZ125" s="612" t="e">
        <f>D125*'Don gia XCSDL DC'!#REF!</f>
        <v>#REF!</v>
      </c>
      <c r="BA125" s="613" t="e">
        <f>(Q125+M125)*'Don gia XCSDL DC'!#REF!</f>
        <v>#REF!</v>
      </c>
    </row>
    <row r="126" spans="1:53" ht="23.25" customHeight="1">
      <c r="A126" s="599"/>
      <c r="B126" s="445">
        <v>7</v>
      </c>
      <c r="C126" s="445" t="s">
        <v>389</v>
      </c>
      <c r="D126" s="600">
        <v>21</v>
      </c>
      <c r="E126" s="601">
        <v>21</v>
      </c>
      <c r="F126" s="601">
        <v>1</v>
      </c>
      <c r="G126" s="602">
        <v>1</v>
      </c>
      <c r="H126" s="601"/>
      <c r="I126" s="601"/>
      <c r="J126" s="621">
        <v>77871</v>
      </c>
      <c r="K126" s="604">
        <v>77871</v>
      </c>
      <c r="L126" s="604">
        <v>77871</v>
      </c>
      <c r="M126" s="605">
        <f t="shared" si="63"/>
        <v>7787.1</v>
      </c>
      <c r="N126" s="604">
        <f t="shared" si="64"/>
        <v>70083.899999999994</v>
      </c>
      <c r="O126" s="604">
        <f t="shared" si="65"/>
        <v>62725.090499999998</v>
      </c>
      <c r="P126" s="604">
        <f t="shared" si="66"/>
        <v>24155.757166666663</v>
      </c>
      <c r="Q126" s="604">
        <f t="shared" si="67"/>
        <v>7358.8094999999958</v>
      </c>
      <c r="R126" s="604"/>
      <c r="S126" s="621">
        <v>50344</v>
      </c>
      <c r="T126" s="603">
        <f>S126*0.05</f>
        <v>2517.2000000000003</v>
      </c>
      <c r="U126" s="621">
        <f>115708/3-T126</f>
        <v>36052.133333333339</v>
      </c>
      <c r="V126" s="604">
        <f t="shared" si="68"/>
        <v>11774.666666666664</v>
      </c>
      <c r="W126" s="604"/>
      <c r="X126" s="607">
        <f t="shared" si="38"/>
        <v>0.58772961826246484</v>
      </c>
      <c r="Y126" s="608">
        <f t="shared" si="69"/>
        <v>604128</v>
      </c>
      <c r="AA126" s="609">
        <f>D126*'Don gia XCSDL DC'!$K$8</f>
        <v>9686.4615701199236</v>
      </c>
      <c r="AB126" s="609">
        <f>D126*'Don gia XCSDL DC'!$K$9</f>
        <v>9242.065345119925</v>
      </c>
      <c r="AC126" s="609" t="e">
        <f>D126*'Don gia XCSDL DC'!#REF!</f>
        <v>#REF!</v>
      </c>
      <c r="AD126" s="609">
        <f>D126*'Don gia XCSDL DC'!$K$10</f>
        <v>37215.270830560687</v>
      </c>
      <c r="AE126" s="609">
        <f>J126*'Don gia XCSDL DC'!$K$11</f>
        <v>0</v>
      </c>
      <c r="AF126" s="609" t="e">
        <f>S126*'Don gia XCSDL DC'!#REF!</f>
        <v>#REF!</v>
      </c>
      <c r="AG126" s="609" t="e">
        <f>D126*'Don gia XCSDL DC'!#REF!</f>
        <v>#REF!</v>
      </c>
      <c r="AH126" s="609" t="e">
        <f>J126*'Don gia XCSDL DC'!#REF!</f>
        <v>#REF!</v>
      </c>
      <c r="AI126" s="609" t="e">
        <f>D126*'Don gia XCSDL DC'!#REF!</f>
        <v>#REF!</v>
      </c>
      <c r="AJ126" s="609">
        <f>S126*2*'Don gia XCSDL DC'!$K$24</f>
        <v>860941598.13699472</v>
      </c>
      <c r="AK126" s="609" t="e">
        <f>S126*3*'Don gia XCSDL DC'!#REF!</f>
        <v>#REF!</v>
      </c>
      <c r="AL126" s="609" t="e">
        <f>(S126*2+S126*3)*('Don gia XCSDL DC'!#REF!+'Don gia XCSDL DC'!#REF!+'Don gia XCSDL DC'!#REF!)</f>
        <v>#REF!</v>
      </c>
      <c r="AM126" s="609" t="e">
        <f>O126*'Don gia XCSDL DC'!#REF!*50%</f>
        <v>#REF!</v>
      </c>
      <c r="AN126" s="609" t="e">
        <f>T126*'Don gia XCSDL DC'!#REF!*$AN$8</f>
        <v>#REF!</v>
      </c>
      <c r="AO126" s="609" t="e">
        <f>U126*'Don gia XCSDL DC'!#REF!*1</f>
        <v>#REF!</v>
      </c>
      <c r="AP126" s="609" t="e">
        <f>P126*X126*'Don gia XCSDL DC'!#REF!</f>
        <v>#REF!</v>
      </c>
      <c r="AQ126" s="609" t="e">
        <f>Q126*$AQ$8*'Don gia XCSDL DC'!#REF!</f>
        <v>#REF!</v>
      </c>
      <c r="AR126" s="609" t="e">
        <f>M126*$AR$8*'Don gia XCSDL DC'!#REF!</f>
        <v>#REF!</v>
      </c>
      <c r="AS126" s="609" t="e">
        <f>J126*'Don gia XCSDL DC'!#REF!</f>
        <v>#REF!</v>
      </c>
      <c r="AT126" s="609">
        <f>D126*'Don gia XCSDL DC'!$K$26</f>
        <v>0</v>
      </c>
      <c r="AU126" s="609">
        <f>J126*'Don gia XCSDL DC'!$K$34</f>
        <v>0</v>
      </c>
      <c r="AV126" s="609">
        <f>O126*'Don gia XCSDL DC'!$K$37</f>
        <v>0</v>
      </c>
      <c r="AW126" s="610" t="e">
        <f t="shared" si="49"/>
        <v>#REF!</v>
      </c>
      <c r="AX126" s="611" t="e">
        <f t="shared" si="50"/>
        <v>#REF!</v>
      </c>
      <c r="AY126" s="806" t="e">
        <f t="shared" si="47"/>
        <v>#REF!</v>
      </c>
      <c r="AZ126" s="612" t="e">
        <f>D126*'Don gia XCSDL DC'!#REF!</f>
        <v>#REF!</v>
      </c>
      <c r="BA126" s="613" t="e">
        <f>(Q126+M126)*'Don gia XCSDL DC'!#REF!</f>
        <v>#REF!</v>
      </c>
    </row>
    <row r="127" spans="1:53" s="723" customFormat="1" ht="23.25" customHeight="1">
      <c r="A127" s="712"/>
      <c r="B127" s="713"/>
      <c r="C127" s="713" t="s">
        <v>390</v>
      </c>
      <c r="D127" s="714">
        <v>27</v>
      </c>
      <c r="E127" s="715">
        <v>27</v>
      </c>
      <c r="F127" s="715"/>
      <c r="G127" s="715">
        <v>1</v>
      </c>
      <c r="H127" s="715"/>
      <c r="I127" s="715"/>
      <c r="J127" s="718">
        <v>105455</v>
      </c>
      <c r="K127" s="716"/>
      <c r="L127" s="734">
        <v>103455</v>
      </c>
      <c r="M127" s="719"/>
      <c r="N127" s="718"/>
      <c r="O127" s="718"/>
      <c r="P127" s="718"/>
      <c r="Q127" s="718"/>
      <c r="R127" s="718"/>
      <c r="S127" s="718"/>
      <c r="T127" s="718"/>
      <c r="U127" s="730"/>
      <c r="V127" s="718"/>
      <c r="W127" s="718"/>
      <c r="X127" s="721"/>
      <c r="Y127" s="722"/>
      <c r="AA127" s="609"/>
      <c r="AB127" s="609"/>
      <c r="AC127" s="609"/>
      <c r="AD127" s="724"/>
      <c r="AE127" s="724"/>
      <c r="AF127" s="724"/>
      <c r="AG127" s="724"/>
      <c r="AH127" s="724"/>
      <c r="AI127" s="724"/>
      <c r="AJ127" s="724"/>
      <c r="AK127" s="724"/>
      <c r="AL127" s="724"/>
      <c r="AM127" s="724"/>
      <c r="AN127" s="724"/>
      <c r="AO127" s="724"/>
      <c r="AP127" s="724"/>
      <c r="AQ127" s="724"/>
      <c r="AR127" s="724"/>
      <c r="AS127" s="724"/>
      <c r="AT127" s="724"/>
      <c r="AU127" s="724"/>
      <c r="AV127" s="609"/>
      <c r="AW127" s="610"/>
      <c r="AX127" s="611"/>
      <c r="AY127" s="807"/>
      <c r="AZ127" s="612"/>
      <c r="BA127" s="613"/>
    </row>
    <row r="128" spans="1:53" s="598" customFormat="1" ht="23.25" customHeight="1">
      <c r="A128" s="589">
        <v>14</v>
      </c>
      <c r="B128" s="1945" t="s">
        <v>391</v>
      </c>
      <c r="C128" s="1945"/>
      <c r="D128" s="594"/>
      <c r="E128" s="595">
        <f>SUM(E129:E133)</f>
        <v>63</v>
      </c>
      <c r="F128" s="595">
        <f>SUM(F129:F133)</f>
        <v>5</v>
      </c>
      <c r="G128" s="596">
        <f>SUM(G129:G139)</f>
        <v>11</v>
      </c>
      <c r="H128" s="595">
        <v>15</v>
      </c>
      <c r="I128" s="595"/>
      <c r="J128" s="595">
        <f t="shared" ref="J128:Q128" si="70">SUM(J129:J133)</f>
        <v>616741.875</v>
      </c>
      <c r="K128" s="595">
        <f t="shared" si="70"/>
        <v>198227</v>
      </c>
      <c r="L128" s="595">
        <f t="shared" si="70"/>
        <v>360778.75</v>
      </c>
      <c r="M128" s="595">
        <f t="shared" si="70"/>
        <v>30837.09375</v>
      </c>
      <c r="N128" s="595">
        <f t="shared" si="70"/>
        <v>585904.78125</v>
      </c>
      <c r="O128" s="595">
        <f t="shared" si="70"/>
        <v>391932.54620625003</v>
      </c>
      <c r="P128" s="595">
        <f t="shared" si="70"/>
        <v>223364.86287291668</v>
      </c>
      <c r="Q128" s="595">
        <f t="shared" si="70"/>
        <v>193972.23504375</v>
      </c>
      <c r="R128" s="595"/>
      <c r="S128" s="595">
        <f>SUM(S129:S133)</f>
        <v>181407</v>
      </c>
      <c r="T128" s="595">
        <f>SUM(T129:T133)</f>
        <v>97938.300000000017</v>
      </c>
      <c r="U128" s="595">
        <f>SUM(U129:U133)</f>
        <v>70631.383333333331</v>
      </c>
      <c r="V128" s="595">
        <f>SUM(V129:V133)</f>
        <v>12839.316666666666</v>
      </c>
      <c r="W128" s="597">
        <v>0.85299999999999998</v>
      </c>
      <c r="X128" s="607">
        <f t="shared" si="38"/>
        <v>0.24188718293123029</v>
      </c>
      <c r="Y128" s="595">
        <f>SUM(Y129:Y133)</f>
        <v>2176884</v>
      </c>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10"/>
      <c r="AX128" s="611"/>
      <c r="AY128" s="806"/>
      <c r="AZ128" s="612"/>
      <c r="BA128" s="613"/>
    </row>
    <row r="129" spans="1:53" ht="23.25" customHeight="1">
      <c r="A129" s="599"/>
      <c r="B129" s="445">
        <v>1</v>
      </c>
      <c r="C129" s="445" t="s">
        <v>392</v>
      </c>
      <c r="D129" s="600">
        <v>11</v>
      </c>
      <c r="E129" s="629">
        <v>13</v>
      </c>
      <c r="F129" s="601">
        <v>1</v>
      </c>
      <c r="G129" s="602">
        <v>1</v>
      </c>
      <c r="H129" s="601"/>
      <c r="I129" s="601"/>
      <c r="J129" s="621">
        <f>50812.5*2</f>
        <v>101625</v>
      </c>
      <c r="K129" s="604">
        <v>53169</v>
      </c>
      <c r="L129" s="604">
        <f>101625/3*1.5</f>
        <v>50812.5</v>
      </c>
      <c r="M129" s="605">
        <f>J129*5%</f>
        <v>5081.25</v>
      </c>
      <c r="N129" s="604">
        <f>J129-M129</f>
        <v>96543.75</v>
      </c>
      <c r="O129" s="604">
        <v>27959</v>
      </c>
      <c r="P129" s="604">
        <v>1</v>
      </c>
      <c r="Q129" s="604">
        <f>N129-O129</f>
        <v>68584.75</v>
      </c>
      <c r="R129" s="604"/>
      <c r="S129" s="604">
        <v>27959</v>
      </c>
      <c r="T129" s="603">
        <f>S129*0.9</f>
        <v>25163.100000000002</v>
      </c>
      <c r="U129" s="636">
        <f>S129-T129</f>
        <v>2795.8999999999978</v>
      </c>
      <c r="V129" s="603">
        <v>1</v>
      </c>
      <c r="W129" s="604"/>
      <c r="X129" s="607">
        <f t="shared" si="38"/>
        <v>1</v>
      </c>
      <c r="Y129" s="608">
        <f>S129*12</f>
        <v>335508</v>
      </c>
      <c r="AA129" s="609">
        <f>D129*'Don gia XCSDL DC'!$K$8</f>
        <v>5073.8608224437694</v>
      </c>
      <c r="AB129" s="609">
        <f>D129*'Don gia XCSDL DC'!$K$9</f>
        <v>4841.0818474437701</v>
      </c>
      <c r="AC129" s="609" t="e">
        <f>D129*'Don gia XCSDL DC'!#REF!</f>
        <v>#REF!</v>
      </c>
      <c r="AD129" s="609">
        <f>D129*'Don gia XCSDL DC'!$K$10</f>
        <v>19493.713292198456</v>
      </c>
      <c r="AE129" s="609">
        <f>J129*'Don gia XCSDL DC'!$K$11</f>
        <v>0</v>
      </c>
      <c r="AF129" s="609" t="e">
        <f>S129*'Don gia XCSDL DC'!#REF!</f>
        <v>#REF!</v>
      </c>
      <c r="AG129" s="609" t="e">
        <f>D129*'Don gia XCSDL DC'!#REF!</f>
        <v>#REF!</v>
      </c>
      <c r="AH129" s="609" t="e">
        <f>J129*'Don gia XCSDL DC'!#REF!</f>
        <v>#REF!</v>
      </c>
      <c r="AI129" s="609" t="e">
        <f>D129*'Don gia XCSDL DC'!#REF!</f>
        <v>#REF!</v>
      </c>
      <c r="AJ129" s="609">
        <f>S129*2*'Don gia XCSDL DC'!$K$24</f>
        <v>478131776.22581118</v>
      </c>
      <c r="AK129" s="609" t="e">
        <f>S129*3*'Don gia XCSDL DC'!#REF!</f>
        <v>#REF!</v>
      </c>
      <c r="AL129" s="609" t="e">
        <f>(S129*2+S129*3)*('Don gia XCSDL DC'!#REF!+'Don gia XCSDL DC'!#REF!+'Don gia XCSDL DC'!#REF!)</f>
        <v>#REF!</v>
      </c>
      <c r="AM129" s="609" t="e">
        <f>O129*'Don gia XCSDL DC'!#REF!*50%</f>
        <v>#REF!</v>
      </c>
      <c r="AN129" s="609" t="e">
        <f>T129*'Don gia XCSDL DC'!#REF!*$AN$8</f>
        <v>#REF!</v>
      </c>
      <c r="AO129" s="609" t="e">
        <f>U129*'Don gia XCSDL DC'!#REF!*1</f>
        <v>#REF!</v>
      </c>
      <c r="AP129" s="609" t="e">
        <f>P129*X129*'Don gia XCSDL DC'!#REF!</f>
        <v>#REF!</v>
      </c>
      <c r="AQ129" s="609" t="e">
        <f>Q129*$AQ$8*'Don gia XCSDL DC'!#REF!</f>
        <v>#REF!</v>
      </c>
      <c r="AR129" s="609" t="e">
        <f>M129*$AR$8*'Don gia XCSDL DC'!#REF!</f>
        <v>#REF!</v>
      </c>
      <c r="AS129" s="609" t="e">
        <f>J129*'Don gia XCSDL DC'!#REF!</f>
        <v>#REF!</v>
      </c>
      <c r="AT129" s="609">
        <f>D129*'Don gia XCSDL DC'!$K$26</f>
        <v>0</v>
      </c>
      <c r="AU129" s="609">
        <f>J129*'Don gia XCSDL DC'!$K$34</f>
        <v>0</v>
      </c>
      <c r="AV129" s="609">
        <f>O129*'Don gia XCSDL DC'!$K$37</f>
        <v>0</v>
      </c>
      <c r="AW129" s="610" t="e">
        <f t="shared" si="49"/>
        <v>#REF!</v>
      </c>
      <c r="AX129" s="611" t="e">
        <f t="shared" si="50"/>
        <v>#REF!</v>
      </c>
      <c r="AY129" s="806" t="e">
        <f t="shared" si="47"/>
        <v>#REF!</v>
      </c>
      <c r="AZ129" s="612" t="e">
        <f>D129*'Don gia XCSDL DC'!#REF!</f>
        <v>#REF!</v>
      </c>
      <c r="BA129" s="613" t="e">
        <f>(Q129+M129)*'Don gia XCSDL DC'!#REF!</f>
        <v>#REF!</v>
      </c>
    </row>
    <row r="130" spans="1:53" ht="23.25" customHeight="1">
      <c r="A130" s="599"/>
      <c r="B130" s="445">
        <v>2</v>
      </c>
      <c r="C130" s="445" t="s">
        <v>393</v>
      </c>
      <c r="D130" s="600">
        <v>15</v>
      </c>
      <c r="E130" s="601">
        <v>15</v>
      </c>
      <c r="F130" s="601">
        <v>1</v>
      </c>
      <c r="G130" s="602">
        <v>1</v>
      </c>
      <c r="H130" s="601"/>
      <c r="I130" s="601"/>
      <c r="J130" s="621">
        <f>104809*1.5</f>
        <v>157213.5</v>
      </c>
      <c r="K130" s="604">
        <v>98258</v>
      </c>
      <c r="L130" s="604">
        <f>209618/3*1.5</f>
        <v>104809</v>
      </c>
      <c r="M130" s="605">
        <f>J130*5%</f>
        <v>7860.6750000000002</v>
      </c>
      <c r="N130" s="604">
        <f>J130-M130</f>
        <v>149352.82500000001</v>
      </c>
      <c r="O130" s="604">
        <f>$N130*$W$128</f>
        <v>127397.95972500001</v>
      </c>
      <c r="P130" s="604">
        <f>O130-T130-U130</f>
        <v>85474.359725000017</v>
      </c>
      <c r="Q130" s="604">
        <f>N130-O130</f>
        <v>21954.865275000004</v>
      </c>
      <c r="R130" s="604"/>
      <c r="S130" s="604">
        <v>46835</v>
      </c>
      <c r="T130" s="604">
        <f>S130*0.6</f>
        <v>28101</v>
      </c>
      <c r="U130" s="621">
        <f>209618/5-T130</f>
        <v>13822.599999999999</v>
      </c>
      <c r="V130" s="604">
        <f>S130-T130-U130</f>
        <v>4911.4000000000015</v>
      </c>
      <c r="W130" s="604"/>
      <c r="X130" s="607">
        <f t="shared" si="38"/>
        <v>0.24187040737806728</v>
      </c>
      <c r="Y130" s="608">
        <f>S130*12</f>
        <v>562020</v>
      </c>
      <c r="AA130" s="609">
        <f>D130*'Don gia XCSDL DC'!$K$8</f>
        <v>6918.9011215142309</v>
      </c>
      <c r="AB130" s="609">
        <f>D130*'Don gia XCSDL DC'!$K$9</f>
        <v>6601.4752465142319</v>
      </c>
      <c r="AC130" s="609" t="e">
        <f>D130*'Don gia XCSDL DC'!#REF!</f>
        <v>#REF!</v>
      </c>
      <c r="AD130" s="609">
        <f>D130*'Don gia XCSDL DC'!$K$10</f>
        <v>26582.336307543348</v>
      </c>
      <c r="AE130" s="609">
        <f>J130*'Don gia XCSDL DC'!$K$11</f>
        <v>0</v>
      </c>
      <c r="AF130" s="609" t="e">
        <f>S130*'Don gia XCSDL DC'!#REF!</f>
        <v>#REF!</v>
      </c>
      <c r="AG130" s="609" t="e">
        <f>D130*'Don gia XCSDL DC'!#REF!</f>
        <v>#REF!</v>
      </c>
      <c r="AH130" s="609" t="e">
        <f>J130*'Don gia XCSDL DC'!#REF!</f>
        <v>#REF!</v>
      </c>
      <c r="AI130" s="609" t="e">
        <f>D130*'Don gia XCSDL DC'!#REF!</f>
        <v>#REF!</v>
      </c>
      <c r="AJ130" s="609">
        <f>S130*2*'Don gia XCSDL DC'!$K$24</f>
        <v>800933571.99956596</v>
      </c>
      <c r="AK130" s="609" t="e">
        <f>S130*3*'Don gia XCSDL DC'!#REF!</f>
        <v>#REF!</v>
      </c>
      <c r="AL130" s="609" t="e">
        <f>(S130*2+S130*3)*('Don gia XCSDL DC'!#REF!+'Don gia XCSDL DC'!#REF!+'Don gia XCSDL DC'!#REF!)</f>
        <v>#REF!</v>
      </c>
      <c r="AM130" s="609" t="e">
        <f>O130*'Don gia XCSDL DC'!#REF!*50%</f>
        <v>#REF!</v>
      </c>
      <c r="AN130" s="609" t="e">
        <f>T130*'Don gia XCSDL DC'!#REF!*$AN$8</f>
        <v>#REF!</v>
      </c>
      <c r="AO130" s="609" t="e">
        <f>U130*'Don gia XCSDL DC'!#REF!*1</f>
        <v>#REF!</v>
      </c>
      <c r="AP130" s="609" t="e">
        <f>P130*X130*'Don gia XCSDL DC'!#REF!</f>
        <v>#REF!</v>
      </c>
      <c r="AQ130" s="609" t="e">
        <f>Q130*$AQ$8*'Don gia XCSDL DC'!#REF!</f>
        <v>#REF!</v>
      </c>
      <c r="AR130" s="609" t="e">
        <f>M130*$AR$8*'Don gia XCSDL DC'!#REF!</f>
        <v>#REF!</v>
      </c>
      <c r="AS130" s="609" t="e">
        <f>J130*'Don gia XCSDL DC'!#REF!</f>
        <v>#REF!</v>
      </c>
      <c r="AT130" s="609">
        <f>D130*'Don gia XCSDL DC'!$K$26</f>
        <v>0</v>
      </c>
      <c r="AU130" s="609">
        <f>J130*'Don gia XCSDL DC'!$K$34</f>
        <v>0</v>
      </c>
      <c r="AV130" s="609">
        <f>O130*'Don gia XCSDL DC'!$K$37</f>
        <v>0</v>
      </c>
      <c r="AW130" s="610" t="e">
        <f t="shared" si="49"/>
        <v>#REF!</v>
      </c>
      <c r="AX130" s="611" t="e">
        <f t="shared" si="50"/>
        <v>#REF!</v>
      </c>
      <c r="AY130" s="806" t="e">
        <f t="shared" si="47"/>
        <v>#REF!</v>
      </c>
      <c r="AZ130" s="612" t="e">
        <f>D130*'Don gia XCSDL DC'!#REF!</f>
        <v>#REF!</v>
      </c>
      <c r="BA130" s="613" t="e">
        <f>(Q130+M130)*'Don gia XCSDL DC'!#REF!</f>
        <v>#REF!</v>
      </c>
    </row>
    <row r="131" spans="1:53" ht="23.25" customHeight="1">
      <c r="A131" s="599"/>
      <c r="B131" s="445">
        <v>3</v>
      </c>
      <c r="C131" s="445" t="s">
        <v>394</v>
      </c>
      <c r="D131" s="600">
        <v>10</v>
      </c>
      <c r="E131" s="601">
        <v>10</v>
      </c>
      <c r="F131" s="601">
        <v>1</v>
      </c>
      <c r="G131" s="602">
        <v>1</v>
      </c>
      <c r="H131" s="601"/>
      <c r="I131" s="601"/>
      <c r="J131" s="621">
        <f>48701.5*2</f>
        <v>97403</v>
      </c>
      <c r="K131" s="604">
        <v>46800</v>
      </c>
      <c r="L131" s="604">
        <f>97403/3*1.5</f>
        <v>48701.5</v>
      </c>
      <c r="M131" s="605">
        <f>J131*5%</f>
        <v>4870.1500000000005</v>
      </c>
      <c r="N131" s="604">
        <f>J131-M131</f>
        <v>92532.85</v>
      </c>
      <c r="O131" s="604">
        <f>$N131*$W$128</f>
        <v>78930.52105000001</v>
      </c>
      <c r="P131" s="604">
        <f>O131-T131-U131</f>
        <v>54579.77105000001</v>
      </c>
      <c r="Q131" s="604">
        <f>N131-O131</f>
        <v>13602.328949999996</v>
      </c>
      <c r="R131" s="604"/>
      <c r="S131" s="604">
        <v>28148</v>
      </c>
      <c r="T131" s="604">
        <f>S131*0.6</f>
        <v>16888.8</v>
      </c>
      <c r="U131" s="621">
        <f>97403/4-T131</f>
        <v>7461.9500000000007</v>
      </c>
      <c r="V131" s="604">
        <f>S131-T131-U131</f>
        <v>3797.25</v>
      </c>
      <c r="W131" s="604"/>
      <c r="X131" s="607">
        <f t="shared" si="38"/>
        <v>0.25161264651764037</v>
      </c>
      <c r="Y131" s="608">
        <f>S131*12</f>
        <v>337776</v>
      </c>
      <c r="AA131" s="609">
        <f>D131*'Don gia XCSDL DC'!$K$8</f>
        <v>4612.6007476761533</v>
      </c>
      <c r="AB131" s="609">
        <f>D131*'Don gia XCSDL DC'!$K$9</f>
        <v>4400.983497676154</v>
      </c>
      <c r="AC131" s="609" t="e">
        <f>D131*'Don gia XCSDL DC'!#REF!</f>
        <v>#REF!</v>
      </c>
      <c r="AD131" s="609">
        <f>D131*'Don gia XCSDL DC'!$K$10</f>
        <v>17721.557538362234</v>
      </c>
      <c r="AE131" s="609">
        <f>J131*'Don gia XCSDL DC'!$K$11</f>
        <v>0</v>
      </c>
      <c r="AF131" s="609" t="e">
        <f>S131*'Don gia XCSDL DC'!#REF!</f>
        <v>#REF!</v>
      </c>
      <c r="AG131" s="609" t="e">
        <f>D131*'Don gia XCSDL DC'!#REF!</f>
        <v>#REF!</v>
      </c>
      <c r="AH131" s="609" t="e">
        <f>J131*'Don gia XCSDL DC'!#REF!</f>
        <v>#REF!</v>
      </c>
      <c r="AI131" s="609" t="e">
        <f>D131*'Don gia XCSDL DC'!#REF!</f>
        <v>#REF!</v>
      </c>
      <c r="AJ131" s="609">
        <f>S131*2*'Don gia XCSDL DC'!$K$24</f>
        <v>481363898.46575814</v>
      </c>
      <c r="AK131" s="609" t="e">
        <f>S131*3*'Don gia XCSDL DC'!#REF!</f>
        <v>#REF!</v>
      </c>
      <c r="AL131" s="609" t="e">
        <f>(S131*2+S131*3)*('Don gia XCSDL DC'!#REF!+'Don gia XCSDL DC'!#REF!+'Don gia XCSDL DC'!#REF!)</f>
        <v>#REF!</v>
      </c>
      <c r="AM131" s="609" t="e">
        <f>O131*'Don gia XCSDL DC'!#REF!*50%</f>
        <v>#REF!</v>
      </c>
      <c r="AN131" s="609" t="e">
        <f>T131*'Don gia XCSDL DC'!#REF!*$AN$8</f>
        <v>#REF!</v>
      </c>
      <c r="AO131" s="609" t="e">
        <f>U131*'Don gia XCSDL DC'!#REF!*1</f>
        <v>#REF!</v>
      </c>
      <c r="AP131" s="609" t="e">
        <f>P131*X131*'Don gia XCSDL DC'!#REF!</f>
        <v>#REF!</v>
      </c>
      <c r="AQ131" s="609" t="e">
        <f>Q131*$AQ$8*'Don gia XCSDL DC'!#REF!</f>
        <v>#REF!</v>
      </c>
      <c r="AR131" s="609" t="e">
        <f>M131*$AR$8*'Don gia XCSDL DC'!#REF!</f>
        <v>#REF!</v>
      </c>
      <c r="AS131" s="609" t="e">
        <f>J131*'Don gia XCSDL DC'!#REF!</f>
        <v>#REF!</v>
      </c>
      <c r="AT131" s="609">
        <f>D131*'Don gia XCSDL DC'!$K$26</f>
        <v>0</v>
      </c>
      <c r="AU131" s="609">
        <f>J131*'Don gia XCSDL DC'!$K$34</f>
        <v>0</v>
      </c>
      <c r="AV131" s="609">
        <f>O131*'Don gia XCSDL DC'!$K$37</f>
        <v>0</v>
      </c>
      <c r="AW131" s="610" t="e">
        <f t="shared" si="49"/>
        <v>#REF!</v>
      </c>
      <c r="AX131" s="611" t="e">
        <f t="shared" si="50"/>
        <v>#REF!</v>
      </c>
      <c r="AY131" s="806" t="e">
        <f t="shared" si="47"/>
        <v>#REF!</v>
      </c>
      <c r="AZ131" s="612" t="e">
        <f>D131*'Don gia XCSDL DC'!#REF!</f>
        <v>#REF!</v>
      </c>
      <c r="BA131" s="613" t="e">
        <f>(Q131+M131)*'Don gia XCSDL DC'!#REF!</f>
        <v>#REF!</v>
      </c>
    </row>
    <row r="132" spans="1:53" ht="23.25" customHeight="1">
      <c r="A132" s="599"/>
      <c r="B132" s="445">
        <v>4</v>
      </c>
      <c r="C132" s="445" t="s">
        <v>395</v>
      </c>
      <c r="D132" s="600">
        <v>17</v>
      </c>
      <c r="E132" s="601">
        <v>17</v>
      </c>
      <c r="F132" s="601">
        <v>1</v>
      </c>
      <c r="G132" s="602">
        <v>1</v>
      </c>
      <c r="H132" s="601"/>
      <c r="I132" s="601"/>
      <c r="J132" s="621">
        <f>104822.25*1.5</f>
        <v>157233.375</v>
      </c>
      <c r="K132" s="604"/>
      <c r="L132" s="604">
        <f>119763/4*3+15000</f>
        <v>104822.25</v>
      </c>
      <c r="M132" s="605">
        <f>J132*5%</f>
        <v>7861.6687500000007</v>
      </c>
      <c r="N132" s="604">
        <f>J132-M132</f>
        <v>149371.70624999999</v>
      </c>
      <c r="O132" s="604">
        <f>$N132*$W$128</f>
        <v>127414.06543124998</v>
      </c>
      <c r="P132" s="604">
        <f>O132-T132-U132</f>
        <v>83308.732097916654</v>
      </c>
      <c r="Q132" s="604">
        <f>N132-O132</f>
        <v>21957.640818750006</v>
      </c>
      <c r="R132" s="604"/>
      <c r="S132" s="604">
        <v>48234</v>
      </c>
      <c r="T132" s="604">
        <f>S132*0.2</f>
        <v>9646.8000000000011</v>
      </c>
      <c r="U132" s="621">
        <f>132316/3-T132</f>
        <v>34458.533333333333</v>
      </c>
      <c r="V132" s="604">
        <f>S132-T132-U132</f>
        <v>4128.6666666666642</v>
      </c>
      <c r="W132" s="604"/>
      <c r="X132" s="607">
        <f t="shared" si="38"/>
        <v>0.2355145505732455</v>
      </c>
      <c r="Y132" s="608">
        <f>S132*12</f>
        <v>578808</v>
      </c>
      <c r="AA132" s="609">
        <f>D132*'Don gia XCSDL DC'!$K$8</f>
        <v>7841.4212710494612</v>
      </c>
      <c r="AB132" s="609">
        <f>D132*'Don gia XCSDL DC'!$K$9</f>
        <v>7481.6719460494623</v>
      </c>
      <c r="AC132" s="609" t="e">
        <f>D132*'Don gia XCSDL DC'!#REF!</f>
        <v>#REF!</v>
      </c>
      <c r="AD132" s="609">
        <f>D132*'Don gia XCSDL DC'!$K$10</f>
        <v>30126.647815215798</v>
      </c>
      <c r="AE132" s="609">
        <f>J132*'Don gia XCSDL DC'!$K$11</f>
        <v>0</v>
      </c>
      <c r="AF132" s="609" t="e">
        <f>S132*'Don gia XCSDL DC'!#REF!</f>
        <v>#REF!</v>
      </c>
      <c r="AG132" s="609" t="e">
        <f>D132*'Don gia XCSDL DC'!#REF!</f>
        <v>#REF!</v>
      </c>
      <c r="AH132" s="609" t="e">
        <f>J132*'Don gia XCSDL DC'!#REF!</f>
        <v>#REF!</v>
      </c>
      <c r="AI132" s="609" t="e">
        <f>D132*'Don gia XCSDL DC'!#REF!</f>
        <v>#REF!</v>
      </c>
      <c r="AJ132" s="609">
        <f>S132*2*'Don gia XCSDL DC'!$K$24</f>
        <v>824858117.04552293</v>
      </c>
      <c r="AK132" s="609" t="e">
        <f>S132*3*'Don gia XCSDL DC'!#REF!</f>
        <v>#REF!</v>
      </c>
      <c r="AL132" s="609" t="e">
        <f>(S132*2+S132*3)*('Don gia XCSDL DC'!#REF!+'Don gia XCSDL DC'!#REF!+'Don gia XCSDL DC'!#REF!)</f>
        <v>#REF!</v>
      </c>
      <c r="AM132" s="609" t="e">
        <f>O132*'Don gia XCSDL DC'!#REF!*50%</f>
        <v>#REF!</v>
      </c>
      <c r="AN132" s="609" t="e">
        <f>T132*'Don gia XCSDL DC'!#REF!*$AN$8</f>
        <v>#REF!</v>
      </c>
      <c r="AO132" s="609" t="e">
        <f>U132*'Don gia XCSDL DC'!#REF!*1</f>
        <v>#REF!</v>
      </c>
      <c r="AP132" s="609" t="e">
        <f>P132*X132*'Don gia XCSDL DC'!#REF!</f>
        <v>#REF!</v>
      </c>
      <c r="AQ132" s="609" t="e">
        <f>Q132*$AQ$8*'Don gia XCSDL DC'!#REF!</f>
        <v>#REF!</v>
      </c>
      <c r="AR132" s="609" t="e">
        <f>M132*$AR$8*'Don gia XCSDL DC'!#REF!</f>
        <v>#REF!</v>
      </c>
      <c r="AS132" s="609" t="e">
        <f>J132*'Don gia XCSDL DC'!#REF!</f>
        <v>#REF!</v>
      </c>
      <c r="AT132" s="609">
        <f>D132*'Don gia XCSDL DC'!$K$26</f>
        <v>0</v>
      </c>
      <c r="AU132" s="609">
        <f>J132*'Don gia XCSDL DC'!$K$34</f>
        <v>0</v>
      </c>
      <c r="AV132" s="609">
        <f>O132*'Don gia XCSDL DC'!$K$37</f>
        <v>0</v>
      </c>
      <c r="AW132" s="610" t="e">
        <f t="shared" si="49"/>
        <v>#REF!</v>
      </c>
      <c r="AX132" s="611" t="e">
        <f t="shared" si="50"/>
        <v>#REF!</v>
      </c>
      <c r="AY132" s="806" t="e">
        <f t="shared" si="47"/>
        <v>#REF!</v>
      </c>
      <c r="AZ132" s="612" t="e">
        <f>D132*'Don gia XCSDL DC'!#REF!</f>
        <v>#REF!</v>
      </c>
      <c r="BA132" s="613" t="e">
        <f>(Q132+M132)*'Don gia XCSDL DC'!#REF!</f>
        <v>#REF!</v>
      </c>
    </row>
    <row r="133" spans="1:53" ht="23.25" customHeight="1">
      <c r="A133" s="599"/>
      <c r="B133" s="445">
        <v>5</v>
      </c>
      <c r="C133" s="445" t="s">
        <v>396</v>
      </c>
      <c r="D133" s="600">
        <v>8</v>
      </c>
      <c r="E133" s="601">
        <v>8</v>
      </c>
      <c r="F133" s="601">
        <v>1</v>
      </c>
      <c r="G133" s="602">
        <v>1</v>
      </c>
      <c r="H133" s="601"/>
      <c r="I133" s="601"/>
      <c r="J133" s="621">
        <f>51633.5*2</f>
        <v>103267</v>
      </c>
      <c r="K133" s="604"/>
      <c r="L133" s="604">
        <f>103267/3*1.5</f>
        <v>51633.5</v>
      </c>
      <c r="M133" s="605">
        <f>J133*5%</f>
        <v>5163.3500000000004</v>
      </c>
      <c r="N133" s="604">
        <f>J133-M133</f>
        <v>98103.65</v>
      </c>
      <c r="O133" s="604">
        <v>30231</v>
      </c>
      <c r="P133" s="604">
        <v>1</v>
      </c>
      <c r="Q133" s="604">
        <f>N133-O133</f>
        <v>67872.649999999994</v>
      </c>
      <c r="R133" s="604"/>
      <c r="S133" s="604">
        <v>30231</v>
      </c>
      <c r="T133" s="603">
        <f>S133*0.6</f>
        <v>18138.599999999999</v>
      </c>
      <c r="U133" s="636">
        <f>S133-T133</f>
        <v>12092.400000000001</v>
      </c>
      <c r="V133" s="603">
        <v>1</v>
      </c>
      <c r="W133" s="604"/>
      <c r="X133" s="607">
        <f t="shared" si="38"/>
        <v>1</v>
      </c>
      <c r="Y133" s="608">
        <f>S133*12</f>
        <v>362772</v>
      </c>
      <c r="AA133" s="609">
        <f>D133*'Don gia XCSDL DC'!$K$8</f>
        <v>3690.080598140923</v>
      </c>
      <c r="AB133" s="609">
        <f>D133*'Don gia XCSDL DC'!$K$9</f>
        <v>3520.7867981409236</v>
      </c>
      <c r="AC133" s="609" t="e">
        <f>D133*'Don gia XCSDL DC'!#REF!</f>
        <v>#REF!</v>
      </c>
      <c r="AD133" s="609">
        <f>D133*'Don gia XCSDL DC'!$K$10</f>
        <v>14177.246030689786</v>
      </c>
      <c r="AE133" s="609">
        <f>J133*'Don gia XCSDL DC'!$K$11</f>
        <v>0</v>
      </c>
      <c r="AF133" s="609" t="e">
        <f>S133*'Don gia XCSDL DC'!#REF!</f>
        <v>#REF!</v>
      </c>
      <c r="AG133" s="609" t="e">
        <f>D133*'Don gia XCSDL DC'!#REF!</f>
        <v>#REF!</v>
      </c>
      <c r="AH133" s="609" t="e">
        <f>J133*'Don gia XCSDL DC'!#REF!</f>
        <v>#REF!</v>
      </c>
      <c r="AI133" s="609" t="e">
        <f>D133*'Don gia XCSDL DC'!#REF!</f>
        <v>#REF!</v>
      </c>
      <c r="AJ133" s="609">
        <f>S133*2*'Don gia XCSDL DC'!$K$24</f>
        <v>516985647.80866617</v>
      </c>
      <c r="AK133" s="609" t="e">
        <f>S133*3*'Don gia XCSDL DC'!#REF!</f>
        <v>#REF!</v>
      </c>
      <c r="AL133" s="609" t="e">
        <f>(S133*2+S133*3)*('Don gia XCSDL DC'!#REF!+'Don gia XCSDL DC'!#REF!+'Don gia XCSDL DC'!#REF!)</f>
        <v>#REF!</v>
      </c>
      <c r="AM133" s="609" t="e">
        <f>O133*'Don gia XCSDL DC'!#REF!*50%</f>
        <v>#REF!</v>
      </c>
      <c r="AN133" s="609" t="e">
        <f>T133*'Don gia XCSDL DC'!#REF!*$AN$8</f>
        <v>#REF!</v>
      </c>
      <c r="AO133" s="609" t="e">
        <f>U133*'Don gia XCSDL DC'!#REF!*1</f>
        <v>#REF!</v>
      </c>
      <c r="AP133" s="609" t="e">
        <f>P133*X133*'Don gia XCSDL DC'!#REF!</f>
        <v>#REF!</v>
      </c>
      <c r="AQ133" s="609" t="e">
        <f>Q133*$AQ$8*'Don gia XCSDL DC'!#REF!</f>
        <v>#REF!</v>
      </c>
      <c r="AR133" s="609" t="e">
        <f>M133*$AR$8*'Don gia XCSDL DC'!#REF!</f>
        <v>#REF!</v>
      </c>
      <c r="AS133" s="609" t="e">
        <f>J133*'Don gia XCSDL DC'!#REF!</f>
        <v>#REF!</v>
      </c>
      <c r="AT133" s="609">
        <f>D133*'Don gia XCSDL DC'!$K$26</f>
        <v>0</v>
      </c>
      <c r="AU133" s="609">
        <f>J133*'Don gia XCSDL DC'!$K$34</f>
        <v>0</v>
      </c>
      <c r="AV133" s="609">
        <f>O133*'Don gia XCSDL DC'!$K$37</f>
        <v>0</v>
      </c>
      <c r="AW133" s="610" t="e">
        <f t="shared" si="49"/>
        <v>#REF!</v>
      </c>
      <c r="AX133" s="611" t="e">
        <f t="shared" si="50"/>
        <v>#REF!</v>
      </c>
      <c r="AY133" s="806"/>
      <c r="AZ133" s="612"/>
      <c r="BA133" s="613"/>
    </row>
    <row r="134" spans="1:53" s="723" customFormat="1" ht="23.25" customHeight="1">
      <c r="A134" s="712"/>
      <c r="B134" s="713"/>
      <c r="C134" s="713" t="s">
        <v>397</v>
      </c>
      <c r="D134" s="714">
        <v>6</v>
      </c>
      <c r="E134" s="715">
        <v>6</v>
      </c>
      <c r="F134" s="715"/>
      <c r="G134" s="715">
        <v>1</v>
      </c>
      <c r="H134" s="715"/>
      <c r="I134" s="715"/>
      <c r="J134" s="730">
        <f>54616*2</f>
        <v>109232</v>
      </c>
      <c r="K134" s="718">
        <v>105581</v>
      </c>
      <c r="L134" s="718">
        <f>48700/3*1.5</f>
        <v>24350</v>
      </c>
      <c r="M134" s="719"/>
      <c r="N134" s="718"/>
      <c r="O134" s="718"/>
      <c r="P134" s="718"/>
      <c r="Q134" s="718"/>
      <c r="R134" s="718"/>
      <c r="S134" s="718"/>
      <c r="T134" s="718"/>
      <c r="U134" s="730"/>
      <c r="V134" s="718"/>
      <c r="W134" s="718"/>
      <c r="X134" s="721"/>
      <c r="Y134" s="722"/>
      <c r="AA134" s="609"/>
      <c r="AB134" s="609"/>
      <c r="AC134" s="609"/>
      <c r="AD134" s="724"/>
      <c r="AE134" s="724"/>
      <c r="AF134" s="724"/>
      <c r="AG134" s="724"/>
      <c r="AH134" s="724"/>
      <c r="AI134" s="724"/>
      <c r="AJ134" s="724"/>
      <c r="AK134" s="724"/>
      <c r="AL134" s="724"/>
      <c r="AM134" s="724"/>
      <c r="AN134" s="724"/>
      <c r="AO134" s="724"/>
      <c r="AP134" s="724"/>
      <c r="AQ134" s="724"/>
      <c r="AR134" s="724"/>
      <c r="AS134" s="724"/>
      <c r="AT134" s="724"/>
      <c r="AU134" s="724"/>
      <c r="AV134" s="609"/>
      <c r="AW134" s="610"/>
      <c r="AX134" s="611"/>
      <c r="AY134" s="807"/>
      <c r="AZ134" s="612"/>
      <c r="BA134" s="613"/>
    </row>
    <row r="135" spans="1:53" s="723" customFormat="1" ht="23.25" customHeight="1">
      <c r="A135" s="712"/>
      <c r="B135" s="713"/>
      <c r="C135" s="713" t="s">
        <v>398</v>
      </c>
      <c r="D135" s="714">
        <v>12</v>
      </c>
      <c r="E135" s="715">
        <v>12</v>
      </c>
      <c r="F135" s="715"/>
      <c r="G135" s="715">
        <v>1</v>
      </c>
      <c r="H135" s="715"/>
      <c r="I135" s="715"/>
      <c r="J135" s="730">
        <f>29334.5*2</f>
        <v>58669</v>
      </c>
      <c r="K135" s="718"/>
      <c r="L135" s="718">
        <f>12446/4*3+20000</f>
        <v>29334.5</v>
      </c>
      <c r="M135" s="719"/>
      <c r="N135" s="718"/>
      <c r="O135" s="718"/>
      <c r="P135" s="718"/>
      <c r="Q135" s="718"/>
      <c r="R135" s="718"/>
      <c r="S135" s="718"/>
      <c r="T135" s="718"/>
      <c r="U135" s="730"/>
      <c r="V135" s="718"/>
      <c r="W135" s="718"/>
      <c r="X135" s="721"/>
      <c r="Y135" s="722"/>
      <c r="AA135" s="609"/>
      <c r="AB135" s="609"/>
      <c r="AC135" s="609"/>
      <c r="AD135" s="724"/>
      <c r="AE135" s="724"/>
      <c r="AF135" s="724"/>
      <c r="AG135" s="724"/>
      <c r="AH135" s="724"/>
      <c r="AI135" s="724"/>
      <c r="AJ135" s="724"/>
      <c r="AK135" s="724"/>
      <c r="AL135" s="724"/>
      <c r="AM135" s="724"/>
      <c r="AN135" s="724"/>
      <c r="AO135" s="724"/>
      <c r="AP135" s="724"/>
      <c r="AQ135" s="724"/>
      <c r="AR135" s="724"/>
      <c r="AS135" s="724"/>
      <c r="AT135" s="724"/>
      <c r="AU135" s="724"/>
      <c r="AV135" s="609"/>
      <c r="AW135" s="610"/>
      <c r="AX135" s="611"/>
      <c r="AY135" s="807"/>
      <c r="AZ135" s="612"/>
      <c r="BA135" s="613"/>
    </row>
    <row r="136" spans="1:53" s="723" customFormat="1" ht="23.25" customHeight="1">
      <c r="A136" s="712"/>
      <c r="B136" s="713"/>
      <c r="C136" s="713" t="s">
        <v>399</v>
      </c>
      <c r="D136" s="714">
        <v>7</v>
      </c>
      <c r="E136" s="715">
        <v>7</v>
      </c>
      <c r="F136" s="715"/>
      <c r="G136" s="715">
        <v>1</v>
      </c>
      <c r="H136" s="715"/>
      <c r="I136" s="715"/>
      <c r="J136" s="730">
        <f>44995*2</f>
        <v>89990</v>
      </c>
      <c r="K136" s="716"/>
      <c r="L136" s="734">
        <v>12800</v>
      </c>
      <c r="M136" s="719"/>
      <c r="N136" s="718"/>
      <c r="O136" s="718"/>
      <c r="P136" s="718"/>
      <c r="Q136" s="718"/>
      <c r="R136" s="718"/>
      <c r="S136" s="718"/>
      <c r="T136" s="718"/>
      <c r="U136" s="730"/>
      <c r="V136" s="718"/>
      <c r="W136" s="718"/>
      <c r="X136" s="721"/>
      <c r="Y136" s="722"/>
      <c r="AA136" s="609"/>
      <c r="AB136" s="609"/>
      <c r="AC136" s="609"/>
      <c r="AD136" s="724"/>
      <c r="AE136" s="724"/>
      <c r="AF136" s="724"/>
      <c r="AG136" s="724"/>
      <c r="AH136" s="724"/>
      <c r="AI136" s="724"/>
      <c r="AJ136" s="724"/>
      <c r="AK136" s="724"/>
      <c r="AL136" s="724"/>
      <c r="AM136" s="724"/>
      <c r="AN136" s="724"/>
      <c r="AO136" s="724"/>
      <c r="AP136" s="724"/>
      <c r="AQ136" s="724"/>
      <c r="AR136" s="724"/>
      <c r="AS136" s="724"/>
      <c r="AT136" s="724"/>
      <c r="AU136" s="724"/>
      <c r="AV136" s="609"/>
      <c r="AW136" s="610"/>
      <c r="AX136" s="611"/>
      <c r="AY136" s="807"/>
      <c r="AZ136" s="612"/>
      <c r="BA136" s="613"/>
    </row>
    <row r="137" spans="1:53" s="723" customFormat="1" ht="23.25" customHeight="1">
      <c r="A137" s="712"/>
      <c r="B137" s="713"/>
      <c r="C137" s="713" t="s">
        <v>723</v>
      </c>
      <c r="D137" s="714">
        <v>13</v>
      </c>
      <c r="E137" s="715"/>
      <c r="F137" s="715"/>
      <c r="G137" s="715">
        <v>1</v>
      </c>
      <c r="H137" s="715"/>
      <c r="I137" s="715"/>
      <c r="J137" s="718">
        <v>70590</v>
      </c>
      <c r="K137" s="718"/>
      <c r="L137" s="718"/>
      <c r="M137" s="718"/>
      <c r="N137" s="718"/>
      <c r="O137" s="718"/>
      <c r="P137" s="718"/>
      <c r="Q137" s="718"/>
      <c r="R137" s="718"/>
      <c r="S137" s="718"/>
      <c r="T137" s="718"/>
      <c r="U137" s="730"/>
      <c r="V137" s="718"/>
      <c r="W137" s="718"/>
      <c r="X137" s="721"/>
      <c r="Y137" s="722"/>
      <c r="AA137" s="609"/>
      <c r="AB137" s="609"/>
      <c r="AC137" s="609"/>
      <c r="AD137" s="724"/>
      <c r="AE137" s="724"/>
      <c r="AF137" s="724"/>
      <c r="AG137" s="724"/>
      <c r="AH137" s="724"/>
      <c r="AI137" s="724"/>
      <c r="AJ137" s="724"/>
      <c r="AK137" s="724"/>
      <c r="AL137" s="724"/>
      <c r="AM137" s="724"/>
      <c r="AN137" s="724"/>
      <c r="AO137" s="724"/>
      <c r="AP137" s="724"/>
      <c r="AQ137" s="724"/>
      <c r="AR137" s="724"/>
      <c r="AS137" s="724"/>
      <c r="AT137" s="724"/>
      <c r="AU137" s="724"/>
      <c r="AV137" s="609"/>
      <c r="AW137" s="610"/>
      <c r="AX137" s="611"/>
      <c r="AY137" s="807"/>
      <c r="AZ137" s="612"/>
      <c r="BA137" s="613"/>
    </row>
    <row r="138" spans="1:53" s="723" customFormat="1" ht="23.25" customHeight="1">
      <c r="A138" s="712"/>
      <c r="B138" s="713"/>
      <c r="C138" s="713" t="s">
        <v>724</v>
      </c>
      <c r="D138" s="714">
        <v>23</v>
      </c>
      <c r="E138" s="715"/>
      <c r="F138" s="715"/>
      <c r="G138" s="715">
        <v>1</v>
      </c>
      <c r="H138" s="715"/>
      <c r="I138" s="715"/>
      <c r="J138" s="718">
        <v>133648</v>
      </c>
      <c r="K138" s="718"/>
      <c r="L138" s="718"/>
      <c r="M138" s="718"/>
      <c r="N138" s="718"/>
      <c r="O138" s="718"/>
      <c r="P138" s="718"/>
      <c r="Q138" s="718"/>
      <c r="R138" s="718"/>
      <c r="S138" s="718"/>
      <c r="T138" s="718"/>
      <c r="U138" s="730"/>
      <c r="V138" s="718"/>
      <c r="W138" s="718"/>
      <c r="X138" s="721"/>
      <c r="Y138" s="722"/>
      <c r="AA138" s="609"/>
      <c r="AB138" s="609"/>
      <c r="AC138" s="609"/>
      <c r="AD138" s="724"/>
      <c r="AE138" s="724"/>
      <c r="AF138" s="724"/>
      <c r="AG138" s="724"/>
      <c r="AH138" s="724"/>
      <c r="AI138" s="724"/>
      <c r="AJ138" s="724"/>
      <c r="AK138" s="724"/>
      <c r="AL138" s="724"/>
      <c r="AM138" s="724"/>
      <c r="AN138" s="724"/>
      <c r="AO138" s="724"/>
      <c r="AP138" s="724"/>
      <c r="AQ138" s="724"/>
      <c r="AR138" s="724"/>
      <c r="AS138" s="724"/>
      <c r="AT138" s="724"/>
      <c r="AU138" s="724"/>
      <c r="AV138" s="609"/>
      <c r="AW138" s="610"/>
      <c r="AX138" s="611"/>
      <c r="AY138" s="807"/>
      <c r="AZ138" s="612"/>
      <c r="BA138" s="613"/>
    </row>
    <row r="139" spans="1:53" s="723" customFormat="1" ht="23.25" customHeight="1">
      <c r="A139" s="712"/>
      <c r="B139" s="713"/>
      <c r="C139" s="713" t="s">
        <v>725</v>
      </c>
      <c r="D139" s="714">
        <v>18</v>
      </c>
      <c r="E139" s="715"/>
      <c r="F139" s="715"/>
      <c r="G139" s="715">
        <v>1</v>
      </c>
      <c r="H139" s="715"/>
      <c r="I139" s="715"/>
      <c r="J139" s="718">
        <v>76946</v>
      </c>
      <c r="K139" s="718"/>
      <c r="L139" s="718"/>
      <c r="M139" s="718"/>
      <c r="N139" s="718"/>
      <c r="O139" s="718"/>
      <c r="P139" s="718"/>
      <c r="Q139" s="718"/>
      <c r="R139" s="718"/>
      <c r="S139" s="718"/>
      <c r="T139" s="718"/>
      <c r="U139" s="730"/>
      <c r="V139" s="718"/>
      <c r="W139" s="718"/>
      <c r="X139" s="721"/>
      <c r="Y139" s="722"/>
      <c r="AA139" s="609"/>
      <c r="AB139" s="609"/>
      <c r="AC139" s="609"/>
      <c r="AD139" s="724"/>
      <c r="AE139" s="724"/>
      <c r="AF139" s="724"/>
      <c r="AG139" s="724"/>
      <c r="AH139" s="724"/>
      <c r="AI139" s="724"/>
      <c r="AJ139" s="724"/>
      <c r="AK139" s="724"/>
      <c r="AL139" s="724"/>
      <c r="AM139" s="724"/>
      <c r="AN139" s="724"/>
      <c r="AO139" s="724"/>
      <c r="AP139" s="724"/>
      <c r="AQ139" s="724"/>
      <c r="AR139" s="724"/>
      <c r="AS139" s="724"/>
      <c r="AT139" s="724"/>
      <c r="AU139" s="724"/>
      <c r="AV139" s="609"/>
      <c r="AW139" s="610"/>
      <c r="AX139" s="611"/>
      <c r="AY139" s="807"/>
      <c r="AZ139" s="612"/>
      <c r="BA139" s="613"/>
    </row>
    <row r="140" spans="1:53" ht="24.75" customHeight="1">
      <c r="A140" s="1947" t="s">
        <v>400</v>
      </c>
      <c r="B140" s="1948"/>
      <c r="C140" s="1948"/>
      <c r="D140" s="578"/>
      <c r="E140" s="592">
        <f>E141+E155+E169+E178+E189+E199+E214+E224+E234+E243</f>
        <v>1219</v>
      </c>
      <c r="F140" s="592">
        <f>F141+F155+F169+F178+F189+F199+F214+F224+F234+F243</f>
        <v>70</v>
      </c>
      <c r="G140" s="593">
        <f>G141+G155+G169+G178+G189+G199+G214+G224+G234+G243</f>
        <v>98</v>
      </c>
      <c r="H140" s="592">
        <f>H141+H155+H169+H178+H189+H199+H214+H224+H234+H243</f>
        <v>120</v>
      </c>
      <c r="I140" s="592"/>
      <c r="J140" s="592">
        <f>J141+J155+J169+J178+J189+J199+J214+J224+J234+J243</f>
        <v>10072087.23</v>
      </c>
      <c r="K140" s="592"/>
      <c r="L140" s="592"/>
      <c r="M140" s="595">
        <f>J140*15%</f>
        <v>1510813.0845000001</v>
      </c>
      <c r="N140" s="658">
        <f>J140-M140</f>
        <v>8561274.1455000006</v>
      </c>
      <c r="O140" s="658"/>
      <c r="P140" s="658">
        <f>O140-T140-U140</f>
        <v>-2</v>
      </c>
      <c r="Q140" s="658">
        <f>N140-O140</f>
        <v>8561274.1455000006</v>
      </c>
      <c r="R140" s="658"/>
      <c r="S140" s="592"/>
      <c r="T140" s="592"/>
      <c r="U140" s="277">
        <v>2</v>
      </c>
      <c r="V140" s="658">
        <f>S140-T140-U140</f>
        <v>-2</v>
      </c>
      <c r="W140" s="592"/>
      <c r="X140" s="607">
        <f t="shared" ref="X140:X196" si="71">((V140*37)+(P140*9))/(P140*46)</f>
        <v>1</v>
      </c>
      <c r="Y140" s="608"/>
      <c r="AA140" s="609"/>
      <c r="AB140" s="609"/>
      <c r="AC140" s="609"/>
      <c r="AD140" s="609"/>
      <c r="AE140" s="609"/>
      <c r="AF140" s="609"/>
      <c r="AG140" s="609"/>
      <c r="AH140" s="609"/>
      <c r="AI140" s="609"/>
      <c r="AJ140" s="609"/>
      <c r="AK140" s="609"/>
      <c r="AL140" s="609"/>
      <c r="AM140" s="609"/>
      <c r="AN140" s="609"/>
      <c r="AO140" s="609"/>
      <c r="AP140" s="609"/>
      <c r="AQ140" s="609"/>
      <c r="AR140" s="609"/>
      <c r="AS140" s="609"/>
      <c r="AT140" s="609"/>
      <c r="AU140" s="609"/>
      <c r="AV140" s="609"/>
      <c r="AW140" s="610"/>
      <c r="AX140" s="611"/>
      <c r="AY140" s="806"/>
      <c r="AZ140" s="612"/>
      <c r="BA140" s="613"/>
    </row>
    <row r="141" spans="1:53" s="598" customFormat="1" ht="24.75" customHeight="1">
      <c r="A141" s="589">
        <v>1</v>
      </c>
      <c r="B141" s="1945" t="s">
        <v>401</v>
      </c>
      <c r="C141" s="1945"/>
      <c r="D141" s="594"/>
      <c r="E141" s="595">
        <f>SUM(E142:E153)</f>
        <v>305</v>
      </c>
      <c r="F141" s="595">
        <f>SUM(F142:F153)</f>
        <v>12</v>
      </c>
      <c r="G141" s="596">
        <f>SUM(G142:G154)</f>
        <v>13</v>
      </c>
      <c r="H141" s="595">
        <v>21</v>
      </c>
      <c r="I141" s="595"/>
      <c r="J141" s="595">
        <f t="shared" ref="J141:Q141" si="72">SUM(J142:J153)</f>
        <v>1723523.75</v>
      </c>
      <c r="K141" s="595">
        <f t="shared" si="72"/>
        <v>1261798</v>
      </c>
      <c r="L141" s="595">
        <f t="shared" si="72"/>
        <v>1710910</v>
      </c>
      <c r="M141" s="595">
        <f t="shared" si="72"/>
        <v>328622.11249999999</v>
      </c>
      <c r="N141" s="595">
        <f t="shared" si="72"/>
        <v>1394901.6375</v>
      </c>
      <c r="O141" s="595">
        <f t="shared" si="72"/>
        <v>1279478.5474374997</v>
      </c>
      <c r="P141" s="595">
        <f t="shared" si="72"/>
        <v>918388.86688194436</v>
      </c>
      <c r="Q141" s="595">
        <f t="shared" si="72"/>
        <v>115423.09006250009</v>
      </c>
      <c r="R141" s="595"/>
      <c r="S141" s="595">
        <f>SUM(S142:S153)</f>
        <v>653099.62</v>
      </c>
      <c r="T141" s="595">
        <f>SUM(T142:T153)</f>
        <v>45513.280999999995</v>
      </c>
      <c r="U141" s="595">
        <f>SUM(U142:U153)</f>
        <v>315576.39955555554</v>
      </c>
      <c r="V141" s="595">
        <f>SUM(V142:V153)</f>
        <v>292009.93944444443</v>
      </c>
      <c r="W141" s="597">
        <f>91.3%</f>
        <v>0.91299999999999992</v>
      </c>
      <c r="X141" s="607">
        <f t="shared" si="71"/>
        <v>0.45140174629773938</v>
      </c>
      <c r="Y141" s="595">
        <f>SUM(Y142:Y153)</f>
        <v>7837195.4399999995</v>
      </c>
      <c r="AA141" s="609"/>
      <c r="AB141" s="609"/>
      <c r="AC141" s="609"/>
      <c r="AD141" s="609"/>
      <c r="AE141" s="609"/>
      <c r="AF141" s="609"/>
      <c r="AG141" s="609"/>
      <c r="AH141" s="609"/>
      <c r="AI141" s="609"/>
      <c r="AJ141" s="609"/>
      <c r="AK141" s="609"/>
      <c r="AL141" s="609"/>
      <c r="AM141" s="609"/>
      <c r="AN141" s="609"/>
      <c r="AO141" s="609"/>
      <c r="AP141" s="609"/>
      <c r="AQ141" s="609"/>
      <c r="AR141" s="609"/>
      <c r="AS141" s="609"/>
      <c r="AT141" s="609"/>
      <c r="AU141" s="609"/>
      <c r="AV141" s="609"/>
      <c r="AW141" s="610"/>
      <c r="AX141" s="611"/>
      <c r="AY141" s="806"/>
      <c r="AZ141" s="612"/>
      <c r="BA141" s="613"/>
    </row>
    <row r="142" spans="1:53" ht="24.75" customHeight="1">
      <c r="A142" s="599"/>
      <c r="B142" s="445">
        <v>1</v>
      </c>
      <c r="C142" s="445" t="s">
        <v>402</v>
      </c>
      <c r="D142" s="600">
        <v>25</v>
      </c>
      <c r="E142" s="601">
        <v>25</v>
      </c>
      <c r="F142" s="601">
        <v>1</v>
      </c>
      <c r="G142" s="602">
        <v>1</v>
      </c>
      <c r="H142" s="601"/>
      <c r="I142" s="601"/>
      <c r="J142" s="604">
        <v>209820.75</v>
      </c>
      <c r="K142" s="604">
        <v>210936</v>
      </c>
      <c r="L142" s="604">
        <f>88137/4*3+215577/3*2</f>
        <v>209820.75</v>
      </c>
      <c r="M142" s="605">
        <f>J142*15%</f>
        <v>31473.112499999999</v>
      </c>
      <c r="N142" s="604">
        <f t="shared" ref="N142:N153" si="73">J142-M142</f>
        <v>178347.63750000001</v>
      </c>
      <c r="O142" s="604">
        <f>$N142*$W$141</f>
        <v>162831.39303750001</v>
      </c>
      <c r="P142" s="604">
        <f t="shared" ref="P142:P153" si="74">O142-T142-U142</f>
        <v>112212.39303749999</v>
      </c>
      <c r="Q142" s="604">
        <f t="shared" ref="Q142:Q153" si="75">N142-O142</f>
        <v>15516.244462500006</v>
      </c>
      <c r="R142" s="604"/>
      <c r="S142" s="604">
        <v>56796</v>
      </c>
      <c r="T142" s="603">
        <f>S142*0.2</f>
        <v>11359.2</v>
      </c>
      <c r="U142" s="636">
        <f>303714/6-T142</f>
        <v>39259.800000000003</v>
      </c>
      <c r="V142" s="603">
        <f t="shared" ref="V142:V153" si="76">S142-T142-U142</f>
        <v>6177</v>
      </c>
      <c r="W142" s="603"/>
      <c r="X142" s="607">
        <f t="shared" si="71"/>
        <v>0.23992942696190001</v>
      </c>
      <c r="Y142" s="608">
        <f t="shared" ref="Y142:Y153" si="77">S142*12</f>
        <v>681552</v>
      </c>
      <c r="AA142" s="609">
        <f>D142*'Don gia XCSDL DC'!$K$8</f>
        <v>11531.501869190384</v>
      </c>
      <c r="AB142" s="609">
        <f>D142*'Don gia XCSDL DC'!$K$9</f>
        <v>11002.458744190386</v>
      </c>
      <c r="AC142" s="609" t="e">
        <f>D142*'Don gia XCSDL DC'!#REF!</f>
        <v>#REF!</v>
      </c>
      <c r="AD142" s="609">
        <f>D142*'Don gia XCSDL DC'!$K$10</f>
        <v>44303.893845905586</v>
      </c>
      <c r="AE142" s="609">
        <f>J142*'Don gia XCSDL DC'!$K$11</f>
        <v>0</v>
      </c>
      <c r="AF142" s="609" t="e">
        <f>S142*'Don gia XCSDL DC'!#REF!</f>
        <v>#REF!</v>
      </c>
      <c r="AG142" s="609" t="e">
        <f>D142*'Don gia XCSDL DC'!#REF!</f>
        <v>#REF!</v>
      </c>
      <c r="AH142" s="609" t="e">
        <f>J142*'Don gia XCSDL DC'!#REF!</f>
        <v>#REF!</v>
      </c>
      <c r="AI142" s="609" t="e">
        <f>D142*'Don gia XCSDL DC'!#REF!</f>
        <v>#REF!</v>
      </c>
      <c r="AJ142" s="609">
        <f>S142*2*'Don gia XCSDL DC'!$K$24</f>
        <v>971278384.86788404</v>
      </c>
      <c r="AK142" s="609" t="e">
        <f>S142*3*'Don gia XCSDL DC'!#REF!</f>
        <v>#REF!</v>
      </c>
      <c r="AL142" s="609" t="e">
        <f>(S142*2+S142*3)*('Don gia XCSDL DC'!#REF!+'Don gia XCSDL DC'!#REF!+'Don gia XCSDL DC'!#REF!)</f>
        <v>#REF!</v>
      </c>
      <c r="AM142" s="609" t="e">
        <f>O142*'Don gia XCSDL DC'!#REF!*50%</f>
        <v>#REF!</v>
      </c>
      <c r="AN142" s="609" t="e">
        <f>T142*'Don gia XCSDL DC'!#REF!*$AN$8</f>
        <v>#REF!</v>
      </c>
      <c r="AO142" s="609" t="e">
        <f>U142*'Don gia XCSDL DC'!#REF!*1</f>
        <v>#REF!</v>
      </c>
      <c r="AP142" s="609" t="e">
        <f>P142*X142*'Don gia XCSDL DC'!#REF!</f>
        <v>#REF!</v>
      </c>
      <c r="AQ142" s="609" t="e">
        <f>Q142*$AQ$8*'Don gia XCSDL DC'!#REF!</f>
        <v>#REF!</v>
      </c>
      <c r="AR142" s="609" t="e">
        <f>M142*$AR$8*'Don gia XCSDL DC'!#REF!</f>
        <v>#REF!</v>
      </c>
      <c r="AS142" s="609" t="e">
        <f>J142*'Don gia XCSDL DC'!#REF!</f>
        <v>#REF!</v>
      </c>
      <c r="AT142" s="609">
        <f>D142*'Don gia XCSDL DC'!$K$26</f>
        <v>0</v>
      </c>
      <c r="AU142" s="609">
        <f>J142*'Don gia XCSDL DC'!$K$34</f>
        <v>0</v>
      </c>
      <c r="AV142" s="609">
        <f>O142*'Don gia XCSDL DC'!$K$37</f>
        <v>0</v>
      </c>
      <c r="AW142" s="610" t="e">
        <f t="shared" si="49"/>
        <v>#REF!</v>
      </c>
      <c r="AX142" s="611" t="e">
        <f t="shared" si="50"/>
        <v>#REF!</v>
      </c>
      <c r="AY142" s="806" t="e">
        <f t="shared" ref="AY142:AY196" si="78">(AX142*100)/AW142</f>
        <v>#REF!</v>
      </c>
      <c r="AZ142" s="612" t="e">
        <f>D142*'Don gia XCSDL DC'!#REF!</f>
        <v>#REF!</v>
      </c>
      <c r="BA142" s="613" t="e">
        <f>(Q142+M142)*'Don gia XCSDL DC'!#REF!</f>
        <v>#REF!</v>
      </c>
    </row>
    <row r="143" spans="1:53" ht="24.75" customHeight="1">
      <c r="A143" s="599"/>
      <c r="B143" s="445">
        <v>2</v>
      </c>
      <c r="C143" s="445" t="s">
        <v>403</v>
      </c>
      <c r="D143" s="600">
        <v>7</v>
      </c>
      <c r="E143" s="601">
        <v>7</v>
      </c>
      <c r="F143" s="601">
        <v>1</v>
      </c>
      <c r="G143" s="602">
        <v>1</v>
      </c>
      <c r="H143" s="601"/>
      <c r="I143" s="601"/>
      <c r="J143" s="604">
        <v>55916</v>
      </c>
      <c r="K143" s="604">
        <v>55916</v>
      </c>
      <c r="L143" s="604">
        <v>55916</v>
      </c>
      <c r="M143" s="605">
        <f>J143*10%</f>
        <v>5591.6</v>
      </c>
      <c r="N143" s="604">
        <f t="shared" si="73"/>
        <v>50324.4</v>
      </c>
      <c r="O143" s="604">
        <v>50178</v>
      </c>
      <c r="P143" s="604">
        <f t="shared" si="74"/>
        <v>4137.1999999999971</v>
      </c>
      <c r="Q143" s="604">
        <f t="shared" si="75"/>
        <v>146.40000000000146</v>
      </c>
      <c r="R143" s="604"/>
      <c r="S143" s="604">
        <v>47178</v>
      </c>
      <c r="T143" s="603">
        <f>S143*0.1</f>
        <v>4717.8</v>
      </c>
      <c r="U143" s="636">
        <v>41323</v>
      </c>
      <c r="V143" s="603">
        <f t="shared" si="76"/>
        <v>1137.1999999999971</v>
      </c>
      <c r="W143" s="603"/>
      <c r="X143" s="607">
        <f t="shared" si="71"/>
        <v>0.41674478433218815</v>
      </c>
      <c r="Y143" s="608">
        <f t="shared" si="77"/>
        <v>566136</v>
      </c>
      <c r="AA143" s="609">
        <f>D143*'Don gia XCSDL DC'!$K$8</f>
        <v>3228.8205233733079</v>
      </c>
      <c r="AB143" s="609">
        <f>D143*'Don gia XCSDL DC'!$K$9</f>
        <v>3080.6884483733083</v>
      </c>
      <c r="AC143" s="609" t="e">
        <f>D143*'Don gia XCSDL DC'!#REF!</f>
        <v>#REF!</v>
      </c>
      <c r="AD143" s="609">
        <f>D143*'Don gia XCSDL DC'!$K$10</f>
        <v>12405.090276853563</v>
      </c>
      <c r="AE143" s="609">
        <f>J143*'Don gia XCSDL DC'!$K$11</f>
        <v>0</v>
      </c>
      <c r="AF143" s="609" t="e">
        <f>S143*'Don gia XCSDL DC'!#REF!</f>
        <v>#REF!</v>
      </c>
      <c r="AG143" s="609" t="e">
        <f>D143*'Don gia XCSDL DC'!#REF!</f>
        <v>#REF!</v>
      </c>
      <c r="AH143" s="609" t="e">
        <f>J143*'Don gia XCSDL DC'!#REF!</f>
        <v>#REF!</v>
      </c>
      <c r="AI143" s="609" t="e">
        <f>D143*'Don gia XCSDL DC'!#REF!</f>
        <v>#REF!</v>
      </c>
      <c r="AJ143" s="609">
        <f>S143*2*'Don gia XCSDL DC'!$K$24</f>
        <v>806799275.32391429</v>
      </c>
      <c r="AK143" s="609" t="e">
        <f>S143*3*'Don gia XCSDL DC'!#REF!</f>
        <v>#REF!</v>
      </c>
      <c r="AL143" s="609" t="e">
        <f>(S143*2+S143*3)*('Don gia XCSDL DC'!#REF!+'Don gia XCSDL DC'!#REF!+'Don gia XCSDL DC'!#REF!)</f>
        <v>#REF!</v>
      </c>
      <c r="AM143" s="609" t="e">
        <f>O143*'Don gia XCSDL DC'!#REF!*50%</f>
        <v>#REF!</v>
      </c>
      <c r="AN143" s="609" t="e">
        <f>T143*'Don gia XCSDL DC'!#REF!*$AN$8</f>
        <v>#REF!</v>
      </c>
      <c r="AO143" s="609" t="e">
        <f>U143*'Don gia XCSDL DC'!#REF!*1</f>
        <v>#REF!</v>
      </c>
      <c r="AP143" s="609" t="e">
        <f>P143*X143*'Don gia XCSDL DC'!#REF!</f>
        <v>#REF!</v>
      </c>
      <c r="AQ143" s="609" t="e">
        <f>Q143*$AQ$8*'Don gia XCSDL DC'!#REF!</f>
        <v>#REF!</v>
      </c>
      <c r="AR143" s="609" t="e">
        <f>M143*$AR$8*'Don gia XCSDL DC'!#REF!</f>
        <v>#REF!</v>
      </c>
      <c r="AS143" s="609" t="e">
        <f>J143*'Don gia XCSDL DC'!#REF!</f>
        <v>#REF!</v>
      </c>
      <c r="AT143" s="609">
        <f>D143*'Don gia XCSDL DC'!$K$26</f>
        <v>0</v>
      </c>
      <c r="AU143" s="609">
        <f>J143*'Don gia XCSDL DC'!$K$34</f>
        <v>0</v>
      </c>
      <c r="AV143" s="609">
        <f>O143*'Don gia XCSDL DC'!$K$37</f>
        <v>0</v>
      </c>
      <c r="AW143" s="610" t="e">
        <f t="shared" si="49"/>
        <v>#REF!</v>
      </c>
      <c r="AX143" s="611" t="e">
        <f t="shared" si="50"/>
        <v>#REF!</v>
      </c>
      <c r="AY143" s="806" t="e">
        <f t="shared" si="78"/>
        <v>#REF!</v>
      </c>
      <c r="AZ143" s="612" t="e">
        <f>D143*'Don gia XCSDL DC'!#REF!</f>
        <v>#REF!</v>
      </c>
      <c r="BA143" s="613" t="e">
        <f>(Q143+M143)*'Don gia XCSDL DC'!#REF!</f>
        <v>#REF!</v>
      </c>
    </row>
    <row r="144" spans="1:53" ht="24.75" customHeight="1">
      <c r="A144" s="599"/>
      <c r="B144" s="445">
        <v>3</v>
      </c>
      <c r="C144" s="445" t="s">
        <v>404</v>
      </c>
      <c r="D144" s="600">
        <v>10</v>
      </c>
      <c r="E144" s="601">
        <v>10</v>
      </c>
      <c r="F144" s="601">
        <v>1</v>
      </c>
      <c r="G144" s="602">
        <v>1</v>
      </c>
      <c r="H144" s="601"/>
      <c r="I144" s="601"/>
      <c r="J144" s="604">
        <f>28240*1.15</f>
        <v>32475.999999999996</v>
      </c>
      <c r="K144" s="604">
        <v>28240</v>
      </c>
      <c r="L144" s="604">
        <f>33490/4*3+26472/3*2</f>
        <v>42765.5</v>
      </c>
      <c r="M144" s="605">
        <f t="shared" ref="M144:M153" si="79">J144*20%</f>
        <v>6495.2</v>
      </c>
      <c r="N144" s="604">
        <f t="shared" si="73"/>
        <v>25980.799999999996</v>
      </c>
      <c r="O144" s="604">
        <v>25422</v>
      </c>
      <c r="P144" s="604">
        <f t="shared" si="74"/>
        <v>2544.7999999999993</v>
      </c>
      <c r="Q144" s="604">
        <f t="shared" si="75"/>
        <v>558.79999999999563</v>
      </c>
      <c r="R144" s="604"/>
      <c r="S144" s="604">
        <v>24422</v>
      </c>
      <c r="T144" s="603">
        <f>S144*0.1</f>
        <v>2442.2000000000003</v>
      </c>
      <c r="U144" s="636">
        <v>20435</v>
      </c>
      <c r="V144" s="603">
        <f t="shared" si="76"/>
        <v>1544.7999999999993</v>
      </c>
      <c r="W144" s="603"/>
      <c r="X144" s="607">
        <f t="shared" si="71"/>
        <v>0.68392493473477034</v>
      </c>
      <c r="Y144" s="608">
        <f t="shared" si="77"/>
        <v>293064</v>
      </c>
      <c r="AA144" s="609">
        <f>D144*'Don gia XCSDL DC'!$K$8</f>
        <v>4612.6007476761533</v>
      </c>
      <c r="AB144" s="609">
        <f>D144*'Don gia XCSDL DC'!$K$9</f>
        <v>4400.983497676154</v>
      </c>
      <c r="AC144" s="609" t="e">
        <f>D144*'Don gia XCSDL DC'!#REF!</f>
        <v>#REF!</v>
      </c>
      <c r="AD144" s="609">
        <f>D144*'Don gia XCSDL DC'!$K$10</f>
        <v>17721.557538362234</v>
      </c>
      <c r="AE144" s="609">
        <f>J144*'Don gia XCSDL DC'!$K$11</f>
        <v>0</v>
      </c>
      <c r="AF144" s="609" t="e">
        <f>S144*'Don gia XCSDL DC'!#REF!</f>
        <v>#REF!</v>
      </c>
      <c r="AG144" s="609" t="e">
        <f>D144*'Don gia XCSDL DC'!#REF!</f>
        <v>#REF!</v>
      </c>
      <c r="AH144" s="609" t="e">
        <f>J144*'Don gia XCSDL DC'!#REF!</f>
        <v>#REF!</v>
      </c>
      <c r="AI144" s="609" t="e">
        <f>D144*'Don gia XCSDL DC'!#REF!</f>
        <v>#REF!</v>
      </c>
      <c r="AJ144" s="609">
        <f>S144*2*'Don gia XCSDL DC'!$K$24</f>
        <v>417644917.16394579</v>
      </c>
      <c r="AK144" s="609" t="e">
        <f>S144*3*'Don gia XCSDL DC'!#REF!</f>
        <v>#REF!</v>
      </c>
      <c r="AL144" s="609" t="e">
        <f>(S144*2+S144*3)*('Don gia XCSDL DC'!#REF!+'Don gia XCSDL DC'!#REF!+'Don gia XCSDL DC'!#REF!)</f>
        <v>#REF!</v>
      </c>
      <c r="AM144" s="609" t="e">
        <f>O144*'Don gia XCSDL DC'!#REF!*50%</f>
        <v>#REF!</v>
      </c>
      <c r="AN144" s="609" t="e">
        <f>T144*'Don gia XCSDL DC'!#REF!*$AN$8</f>
        <v>#REF!</v>
      </c>
      <c r="AO144" s="609" t="e">
        <f>U144*'Don gia XCSDL DC'!#REF!*1</f>
        <v>#REF!</v>
      </c>
      <c r="AP144" s="609" t="e">
        <f>P144*X144*'Don gia XCSDL DC'!#REF!</f>
        <v>#REF!</v>
      </c>
      <c r="AQ144" s="609" t="e">
        <f>Q144*$AQ$8*'Don gia XCSDL DC'!#REF!</f>
        <v>#REF!</v>
      </c>
      <c r="AR144" s="609" t="e">
        <f>M144*$AR$8*'Don gia XCSDL DC'!#REF!</f>
        <v>#REF!</v>
      </c>
      <c r="AS144" s="609" t="e">
        <f>J144*'Don gia XCSDL DC'!#REF!</f>
        <v>#REF!</v>
      </c>
      <c r="AT144" s="609">
        <f>D144*'Don gia XCSDL DC'!$K$26</f>
        <v>0</v>
      </c>
      <c r="AU144" s="609">
        <f>J144*'Don gia XCSDL DC'!$K$34</f>
        <v>0</v>
      </c>
      <c r="AV144" s="609">
        <f>O144*'Don gia XCSDL DC'!$K$37</f>
        <v>0</v>
      </c>
      <c r="AW144" s="610" t="e">
        <f t="shared" ref="AW144:AW207" si="80">SUM(AA144:AV144)</f>
        <v>#REF!</v>
      </c>
      <c r="AX144" s="611" t="e">
        <f t="shared" ref="AX144:AX207" si="81">AC144+AD144+AV144+AZ144+BA144</f>
        <v>#REF!</v>
      </c>
      <c r="AY144" s="806" t="e">
        <f t="shared" si="78"/>
        <v>#REF!</v>
      </c>
      <c r="AZ144" s="612" t="e">
        <f>D144*'Don gia XCSDL DC'!#REF!</f>
        <v>#REF!</v>
      </c>
      <c r="BA144" s="613" t="e">
        <f>(Q144+M144)*'Don gia XCSDL DC'!#REF!</f>
        <v>#REF!</v>
      </c>
    </row>
    <row r="145" spans="1:53" ht="24.75" customHeight="1">
      <c r="A145" s="599"/>
      <c r="B145" s="445">
        <v>4</v>
      </c>
      <c r="C145" s="445" t="s">
        <v>405</v>
      </c>
      <c r="D145" s="600">
        <v>10</v>
      </c>
      <c r="E145" s="601">
        <v>10</v>
      </c>
      <c r="F145" s="601">
        <v>1</v>
      </c>
      <c r="G145" s="602">
        <v>1</v>
      </c>
      <c r="H145" s="601"/>
      <c r="I145" s="601"/>
      <c r="J145" s="604">
        <v>40000</v>
      </c>
      <c r="K145" s="604">
        <v>40000</v>
      </c>
      <c r="L145" s="604">
        <v>40000</v>
      </c>
      <c r="M145" s="605">
        <f t="shared" si="79"/>
        <v>8000</v>
      </c>
      <c r="N145" s="604">
        <f t="shared" si="73"/>
        <v>32000</v>
      </c>
      <c r="O145" s="604">
        <f t="shared" ref="O145:O153" si="82">$N145*$W$141</f>
        <v>29215.999999999996</v>
      </c>
      <c r="P145" s="604">
        <f t="shared" si="74"/>
        <v>16077.874999999996</v>
      </c>
      <c r="Q145" s="604">
        <f t="shared" si="75"/>
        <v>2784.0000000000036</v>
      </c>
      <c r="R145" s="604"/>
      <c r="S145" s="604">
        <v>15178</v>
      </c>
      <c r="T145" s="603">
        <f>S145*0.1</f>
        <v>1517.8000000000002</v>
      </c>
      <c r="U145" s="636">
        <f>105105/8-T145</f>
        <v>11620.325000000001</v>
      </c>
      <c r="V145" s="603">
        <f t="shared" si="76"/>
        <v>2039.875</v>
      </c>
      <c r="W145" s="603"/>
      <c r="X145" s="607">
        <f t="shared" si="71"/>
        <v>0.29770353466433247</v>
      </c>
      <c r="Y145" s="608">
        <f t="shared" si="77"/>
        <v>182136</v>
      </c>
      <c r="AA145" s="609">
        <f>D145*'Don gia XCSDL DC'!$K$8</f>
        <v>4612.6007476761533</v>
      </c>
      <c r="AB145" s="609">
        <f>D145*'Don gia XCSDL DC'!$K$9</f>
        <v>4400.983497676154</v>
      </c>
      <c r="AC145" s="609" t="e">
        <f>D145*'Don gia XCSDL DC'!#REF!</f>
        <v>#REF!</v>
      </c>
      <c r="AD145" s="609">
        <f>D145*'Don gia XCSDL DC'!$K$10</f>
        <v>17721.557538362234</v>
      </c>
      <c r="AE145" s="609">
        <f>J145*'Don gia XCSDL DC'!$K$11</f>
        <v>0</v>
      </c>
      <c r="AF145" s="609" t="e">
        <f>S145*'Don gia XCSDL DC'!#REF!</f>
        <v>#REF!</v>
      </c>
      <c r="AG145" s="609" t="e">
        <f>D145*'Don gia XCSDL DC'!#REF!</f>
        <v>#REF!</v>
      </c>
      <c r="AH145" s="609" t="e">
        <f>J145*'Don gia XCSDL DC'!#REF!</f>
        <v>#REF!</v>
      </c>
      <c r="AI145" s="609" t="e">
        <f>D145*'Don gia XCSDL DC'!#REF!</f>
        <v>#REF!</v>
      </c>
      <c r="AJ145" s="609">
        <f>S145*2*'Don gia XCSDL DC'!$K$24</f>
        <v>259561647.39637905</v>
      </c>
      <c r="AK145" s="609" t="e">
        <f>S145*3*'Don gia XCSDL DC'!#REF!</f>
        <v>#REF!</v>
      </c>
      <c r="AL145" s="609" t="e">
        <f>(S145*2+S145*3)*('Don gia XCSDL DC'!#REF!+'Don gia XCSDL DC'!#REF!+'Don gia XCSDL DC'!#REF!)</f>
        <v>#REF!</v>
      </c>
      <c r="AM145" s="609" t="e">
        <f>O145*'Don gia XCSDL DC'!#REF!*50%</f>
        <v>#REF!</v>
      </c>
      <c r="AN145" s="609" t="e">
        <f>T145*'Don gia XCSDL DC'!#REF!*$AN$8</f>
        <v>#REF!</v>
      </c>
      <c r="AO145" s="609" t="e">
        <f>U145*'Don gia XCSDL DC'!#REF!*1</f>
        <v>#REF!</v>
      </c>
      <c r="AP145" s="609" t="e">
        <f>P145*X145*'Don gia XCSDL DC'!#REF!</f>
        <v>#REF!</v>
      </c>
      <c r="AQ145" s="609" t="e">
        <f>Q145*$AQ$8*'Don gia XCSDL DC'!#REF!</f>
        <v>#REF!</v>
      </c>
      <c r="AR145" s="609" t="e">
        <f>M145*$AR$8*'Don gia XCSDL DC'!#REF!</f>
        <v>#REF!</v>
      </c>
      <c r="AS145" s="609" t="e">
        <f>J145*'Don gia XCSDL DC'!#REF!</f>
        <v>#REF!</v>
      </c>
      <c r="AT145" s="609">
        <f>D145*'Don gia XCSDL DC'!$K$26</f>
        <v>0</v>
      </c>
      <c r="AU145" s="609">
        <f>J145*'Don gia XCSDL DC'!$K$34</f>
        <v>0</v>
      </c>
      <c r="AV145" s="609">
        <f>O145*'Don gia XCSDL DC'!$K$37</f>
        <v>0</v>
      </c>
      <c r="AW145" s="610" t="e">
        <f t="shared" si="80"/>
        <v>#REF!</v>
      </c>
      <c r="AX145" s="611" t="e">
        <f t="shared" si="81"/>
        <v>#REF!</v>
      </c>
      <c r="AY145" s="806" t="e">
        <f t="shared" si="78"/>
        <v>#REF!</v>
      </c>
      <c r="AZ145" s="612" t="e">
        <f>D145*'Don gia XCSDL DC'!#REF!</f>
        <v>#REF!</v>
      </c>
      <c r="BA145" s="613" t="e">
        <f>(Q145+M145)*'Don gia XCSDL DC'!#REF!</f>
        <v>#REF!</v>
      </c>
    </row>
    <row r="146" spans="1:53" ht="24.75" customHeight="1">
      <c r="A146" s="599"/>
      <c r="B146" s="445">
        <v>5</v>
      </c>
      <c r="C146" s="445" t="s">
        <v>406</v>
      </c>
      <c r="D146" s="600">
        <v>25</v>
      </c>
      <c r="E146" s="601">
        <v>25</v>
      </c>
      <c r="F146" s="601">
        <v>1</v>
      </c>
      <c r="G146" s="602">
        <v>1</v>
      </c>
      <c r="H146" s="601"/>
      <c r="I146" s="601"/>
      <c r="J146" s="604">
        <v>170386</v>
      </c>
      <c r="K146" s="604">
        <v>170386</v>
      </c>
      <c r="L146" s="604">
        <f>122303/4*5</f>
        <v>152878.75</v>
      </c>
      <c r="M146" s="605">
        <f t="shared" si="79"/>
        <v>34077.200000000004</v>
      </c>
      <c r="N146" s="604">
        <f t="shared" si="73"/>
        <v>136308.79999999999</v>
      </c>
      <c r="O146" s="604">
        <f t="shared" si="82"/>
        <v>124449.93439999998</v>
      </c>
      <c r="P146" s="604">
        <f t="shared" si="74"/>
        <v>84379.684399999984</v>
      </c>
      <c r="Q146" s="604">
        <f t="shared" si="75"/>
        <v>11858.865600000005</v>
      </c>
      <c r="R146" s="604"/>
      <c r="S146" s="604">
        <v>50085</v>
      </c>
      <c r="T146" s="603">
        <f t="shared" ref="T146:T153" si="83">S146*0.05</f>
        <v>2504.25</v>
      </c>
      <c r="U146" s="636">
        <v>37566</v>
      </c>
      <c r="V146" s="603">
        <f t="shared" si="76"/>
        <v>10014.75</v>
      </c>
      <c r="W146" s="603"/>
      <c r="X146" s="607">
        <f t="shared" si="71"/>
        <v>0.29111759842350005</v>
      </c>
      <c r="Y146" s="608">
        <f t="shared" si="77"/>
        <v>601020</v>
      </c>
      <c r="AA146" s="609">
        <f>D146*'Don gia XCSDL DC'!$K$8</f>
        <v>11531.501869190384</v>
      </c>
      <c r="AB146" s="609">
        <f>D146*'Don gia XCSDL DC'!$K$9</f>
        <v>11002.458744190386</v>
      </c>
      <c r="AC146" s="609" t="e">
        <f>D146*'Don gia XCSDL DC'!#REF!</f>
        <v>#REF!</v>
      </c>
      <c r="AD146" s="609">
        <f>D146*'Don gia XCSDL DC'!$K$10</f>
        <v>44303.893845905586</v>
      </c>
      <c r="AE146" s="609">
        <f>J146*'Don gia XCSDL DC'!$K$11</f>
        <v>0</v>
      </c>
      <c r="AF146" s="609" t="e">
        <f>S146*'Don gia XCSDL DC'!#REF!</f>
        <v>#REF!</v>
      </c>
      <c r="AG146" s="609" t="e">
        <f>D146*'Don gia XCSDL DC'!#REF!</f>
        <v>#REF!</v>
      </c>
      <c r="AH146" s="609" t="e">
        <f>J146*'Don gia XCSDL DC'!#REF!</f>
        <v>#REF!</v>
      </c>
      <c r="AI146" s="609" t="e">
        <f>D146*'Don gia XCSDL DC'!#REF!</f>
        <v>#REF!</v>
      </c>
      <c r="AJ146" s="609">
        <f>S146*2*'Don gia XCSDL DC'!$K$24</f>
        <v>856512393.58595634</v>
      </c>
      <c r="AK146" s="609" t="e">
        <f>S146*3*'Don gia XCSDL DC'!#REF!</f>
        <v>#REF!</v>
      </c>
      <c r="AL146" s="609" t="e">
        <f>(S146*2+S146*3)*('Don gia XCSDL DC'!#REF!+'Don gia XCSDL DC'!#REF!+'Don gia XCSDL DC'!#REF!)</f>
        <v>#REF!</v>
      </c>
      <c r="AM146" s="609" t="e">
        <f>O146*'Don gia XCSDL DC'!#REF!*50%</f>
        <v>#REF!</v>
      </c>
      <c r="AN146" s="609" t="e">
        <f>T146*'Don gia XCSDL DC'!#REF!*$AN$8</f>
        <v>#REF!</v>
      </c>
      <c r="AO146" s="609" t="e">
        <f>U146*'Don gia XCSDL DC'!#REF!*1</f>
        <v>#REF!</v>
      </c>
      <c r="AP146" s="609" t="e">
        <f>P146*X146*'Don gia XCSDL DC'!#REF!</f>
        <v>#REF!</v>
      </c>
      <c r="AQ146" s="609" t="e">
        <f>Q146*$AQ$8*'Don gia XCSDL DC'!#REF!</f>
        <v>#REF!</v>
      </c>
      <c r="AR146" s="609" t="e">
        <f>M146*$AR$8*'Don gia XCSDL DC'!#REF!</f>
        <v>#REF!</v>
      </c>
      <c r="AS146" s="609" t="e">
        <f>J146*'Don gia XCSDL DC'!#REF!</f>
        <v>#REF!</v>
      </c>
      <c r="AT146" s="609">
        <f>D146*'Don gia XCSDL DC'!$K$26</f>
        <v>0</v>
      </c>
      <c r="AU146" s="609">
        <f>J146*'Don gia XCSDL DC'!$K$34</f>
        <v>0</v>
      </c>
      <c r="AV146" s="609">
        <f>O146*'Don gia XCSDL DC'!$K$37</f>
        <v>0</v>
      </c>
      <c r="AW146" s="610" t="e">
        <f t="shared" si="80"/>
        <v>#REF!</v>
      </c>
      <c r="AX146" s="611" t="e">
        <f t="shared" si="81"/>
        <v>#REF!</v>
      </c>
      <c r="AY146" s="806" t="e">
        <f t="shared" si="78"/>
        <v>#REF!</v>
      </c>
      <c r="AZ146" s="612" t="e">
        <f>D146*'Don gia XCSDL DC'!#REF!</f>
        <v>#REF!</v>
      </c>
      <c r="BA146" s="613" t="e">
        <f>(Q146+M146)*'Don gia XCSDL DC'!#REF!</f>
        <v>#REF!</v>
      </c>
    </row>
    <row r="147" spans="1:53" ht="24.75" customHeight="1">
      <c r="A147" s="599"/>
      <c r="B147" s="445">
        <v>6</v>
      </c>
      <c r="C147" s="445" t="s">
        <v>407</v>
      </c>
      <c r="D147" s="600">
        <v>24</v>
      </c>
      <c r="E147" s="601">
        <v>24</v>
      </c>
      <c r="F147" s="601">
        <v>1</v>
      </c>
      <c r="G147" s="602">
        <v>1</v>
      </c>
      <c r="H147" s="601"/>
      <c r="I147" s="601"/>
      <c r="J147" s="604">
        <v>193511</v>
      </c>
      <c r="K147" s="604">
        <v>193511</v>
      </c>
      <c r="L147" s="604">
        <f>143292/4*5+9000</f>
        <v>188115</v>
      </c>
      <c r="M147" s="605">
        <f t="shared" si="79"/>
        <v>38702.200000000004</v>
      </c>
      <c r="N147" s="604">
        <f t="shared" si="73"/>
        <v>154808.79999999999</v>
      </c>
      <c r="O147" s="604">
        <f t="shared" si="82"/>
        <v>141340.43439999997</v>
      </c>
      <c r="P147" s="604">
        <f t="shared" si="74"/>
        <v>103883.93439999997</v>
      </c>
      <c r="Q147" s="604">
        <f t="shared" si="75"/>
        <v>13468.365600000019</v>
      </c>
      <c r="R147" s="604"/>
      <c r="S147" s="606">
        <v>77491.62</v>
      </c>
      <c r="T147" s="604">
        <f t="shared" si="83"/>
        <v>3874.5810000000001</v>
      </c>
      <c r="U147" s="621">
        <f>149826/4-T147</f>
        <v>33581.919000000002</v>
      </c>
      <c r="V147" s="604">
        <f t="shared" si="76"/>
        <v>40035.119999999988</v>
      </c>
      <c r="W147" s="604"/>
      <c r="X147" s="607">
        <f t="shared" si="71"/>
        <v>0.50563428929132315</v>
      </c>
      <c r="Y147" s="608">
        <f t="shared" si="77"/>
        <v>929899.44</v>
      </c>
      <c r="AA147" s="609">
        <f>D147*'Don gia XCSDL DC'!$K$8</f>
        <v>11070.241794422769</v>
      </c>
      <c r="AB147" s="609">
        <f>D147*'Don gia XCSDL DC'!$K$9</f>
        <v>10562.360394422771</v>
      </c>
      <c r="AC147" s="609" t="e">
        <f>D147*'Don gia XCSDL DC'!#REF!</f>
        <v>#REF!</v>
      </c>
      <c r="AD147" s="609">
        <f>D147*'Don gia XCSDL DC'!$K$10</f>
        <v>42531.738092069361</v>
      </c>
      <c r="AE147" s="609">
        <f>J147*'Don gia XCSDL DC'!$K$11</f>
        <v>0</v>
      </c>
      <c r="AF147" s="609" t="e">
        <f>S147*'Don gia XCSDL DC'!#REF!</f>
        <v>#REF!</v>
      </c>
      <c r="AG147" s="609" t="e">
        <f>D147*'Don gia XCSDL DC'!#REF!</f>
        <v>#REF!</v>
      </c>
      <c r="AH147" s="609" t="e">
        <f>J147*'Don gia XCSDL DC'!#REF!</f>
        <v>#REF!</v>
      </c>
      <c r="AI147" s="609" t="e">
        <f>D147*'Don gia XCSDL DC'!#REF!</f>
        <v>#REF!</v>
      </c>
      <c r="AJ147" s="609">
        <f>S147*2*'Don gia XCSDL DC'!$K$24</f>
        <v>1325197822.2831857</v>
      </c>
      <c r="AK147" s="609" t="e">
        <f>S147*3*'Don gia XCSDL DC'!#REF!</f>
        <v>#REF!</v>
      </c>
      <c r="AL147" s="609" t="e">
        <f>(S147*2+S147*3)*('Don gia XCSDL DC'!#REF!+'Don gia XCSDL DC'!#REF!+'Don gia XCSDL DC'!#REF!)</f>
        <v>#REF!</v>
      </c>
      <c r="AM147" s="609" t="e">
        <f>O147*'Don gia XCSDL DC'!#REF!*50%</f>
        <v>#REF!</v>
      </c>
      <c r="AN147" s="609" t="e">
        <f>T147*'Don gia XCSDL DC'!#REF!*$AN$8</f>
        <v>#REF!</v>
      </c>
      <c r="AO147" s="609" t="e">
        <f>U147*'Don gia XCSDL DC'!#REF!*1</f>
        <v>#REF!</v>
      </c>
      <c r="AP147" s="609" t="e">
        <f>P147*X147*'Don gia XCSDL DC'!#REF!</f>
        <v>#REF!</v>
      </c>
      <c r="AQ147" s="609" t="e">
        <f>Q147*$AQ$8*'Don gia XCSDL DC'!#REF!</f>
        <v>#REF!</v>
      </c>
      <c r="AR147" s="609" t="e">
        <f>M147*$AR$8*'Don gia XCSDL DC'!#REF!</f>
        <v>#REF!</v>
      </c>
      <c r="AS147" s="609" t="e">
        <f>J147*'Don gia XCSDL DC'!#REF!</f>
        <v>#REF!</v>
      </c>
      <c r="AT147" s="609">
        <f>D147*'Don gia XCSDL DC'!$K$26</f>
        <v>0</v>
      </c>
      <c r="AU147" s="609">
        <f>J147*'Don gia XCSDL DC'!$K$34</f>
        <v>0</v>
      </c>
      <c r="AV147" s="609">
        <f>O147*'Don gia XCSDL DC'!$K$37</f>
        <v>0</v>
      </c>
      <c r="AW147" s="610" t="e">
        <f t="shared" si="80"/>
        <v>#REF!</v>
      </c>
      <c r="AX147" s="611" t="e">
        <f t="shared" si="81"/>
        <v>#REF!</v>
      </c>
      <c r="AY147" s="806" t="e">
        <f t="shared" si="78"/>
        <v>#REF!</v>
      </c>
      <c r="AZ147" s="612" t="e">
        <f>D147*'Don gia XCSDL DC'!#REF!</f>
        <v>#REF!</v>
      </c>
      <c r="BA147" s="613" t="e">
        <f>(Q147+M147)*'Don gia XCSDL DC'!#REF!</f>
        <v>#REF!</v>
      </c>
    </row>
    <row r="148" spans="1:53" ht="24.75" customHeight="1">
      <c r="A148" s="599"/>
      <c r="B148" s="445">
        <v>7</v>
      </c>
      <c r="C148" s="445" t="s">
        <v>408</v>
      </c>
      <c r="D148" s="600">
        <v>39</v>
      </c>
      <c r="E148" s="601">
        <v>39</v>
      </c>
      <c r="F148" s="601">
        <v>1</v>
      </c>
      <c r="G148" s="602">
        <v>1</v>
      </c>
      <c r="H148" s="601"/>
      <c r="I148" s="601"/>
      <c r="J148" s="604">
        <v>205822</v>
      </c>
      <c r="K148" s="604">
        <v>205822</v>
      </c>
      <c r="L148" s="604">
        <v>205822</v>
      </c>
      <c r="M148" s="605">
        <f t="shared" si="79"/>
        <v>41164.400000000001</v>
      </c>
      <c r="N148" s="604">
        <f t="shared" si="73"/>
        <v>164657.60000000001</v>
      </c>
      <c r="O148" s="604">
        <f t="shared" si="82"/>
        <v>150332.38879999999</v>
      </c>
      <c r="P148" s="604">
        <f t="shared" si="74"/>
        <v>121693.83324444442</v>
      </c>
      <c r="Q148" s="604">
        <f t="shared" si="75"/>
        <v>14325.21120000002</v>
      </c>
      <c r="R148" s="604"/>
      <c r="S148" s="606">
        <v>54039</v>
      </c>
      <c r="T148" s="603">
        <f t="shared" si="83"/>
        <v>2701.9500000000003</v>
      </c>
      <c r="U148" s="636">
        <f>257747/9-T148</f>
        <v>25936.605555555554</v>
      </c>
      <c r="V148" s="603">
        <f t="shared" si="76"/>
        <v>25400.444444444449</v>
      </c>
      <c r="W148" s="603"/>
      <c r="X148" s="607">
        <f t="shared" si="71"/>
        <v>0.36353900700747321</v>
      </c>
      <c r="Y148" s="608">
        <f t="shared" si="77"/>
        <v>648468</v>
      </c>
      <c r="AA148" s="609">
        <f>D148*'Don gia XCSDL DC'!$K$8</f>
        <v>17989.142915936998</v>
      </c>
      <c r="AB148" s="609">
        <f>D148*'Don gia XCSDL DC'!$K$9</f>
        <v>17163.835640937003</v>
      </c>
      <c r="AC148" s="609" t="e">
        <f>D148*'Don gia XCSDL DC'!#REF!</f>
        <v>#REF!</v>
      </c>
      <c r="AD148" s="609">
        <f>D148*'Don gia XCSDL DC'!$K$10</f>
        <v>69114.074399612713</v>
      </c>
      <c r="AE148" s="609">
        <f>J148*'Don gia XCSDL DC'!$K$11</f>
        <v>0</v>
      </c>
      <c r="AF148" s="609" t="e">
        <f>S148*'Don gia XCSDL DC'!#REF!</f>
        <v>#REF!</v>
      </c>
      <c r="AG148" s="609" t="e">
        <f>D148*'Don gia XCSDL DC'!#REF!</f>
        <v>#REF!</v>
      </c>
      <c r="AH148" s="609" t="e">
        <f>J148*'Don gia XCSDL DC'!#REF!</f>
        <v>#REF!</v>
      </c>
      <c r="AI148" s="609" t="e">
        <f>D148*'Don gia XCSDL DC'!#REF!</f>
        <v>#REF!</v>
      </c>
      <c r="AJ148" s="609">
        <f>S148*2*'Don gia XCSDL DC'!$K$24</f>
        <v>924130442.98675239</v>
      </c>
      <c r="AK148" s="609" t="e">
        <f>S148*3*'Don gia XCSDL DC'!#REF!</f>
        <v>#REF!</v>
      </c>
      <c r="AL148" s="609" t="e">
        <f>(S148*2+S148*3)*('Don gia XCSDL DC'!#REF!+'Don gia XCSDL DC'!#REF!+'Don gia XCSDL DC'!#REF!)</f>
        <v>#REF!</v>
      </c>
      <c r="AM148" s="609" t="e">
        <f>O148*'Don gia XCSDL DC'!#REF!*50%</f>
        <v>#REF!</v>
      </c>
      <c r="AN148" s="609" t="e">
        <f>T148*'Don gia XCSDL DC'!#REF!*$AN$8</f>
        <v>#REF!</v>
      </c>
      <c r="AO148" s="609" t="e">
        <f>U148*'Don gia XCSDL DC'!#REF!*1</f>
        <v>#REF!</v>
      </c>
      <c r="AP148" s="609" t="e">
        <f>P148*X148*'Don gia XCSDL DC'!#REF!</f>
        <v>#REF!</v>
      </c>
      <c r="AQ148" s="609" t="e">
        <f>Q148*$AQ$8*'Don gia XCSDL DC'!#REF!</f>
        <v>#REF!</v>
      </c>
      <c r="AR148" s="609" t="e">
        <f>M148*$AR$8*'Don gia XCSDL DC'!#REF!</f>
        <v>#REF!</v>
      </c>
      <c r="AS148" s="609" t="e">
        <f>J148*'Don gia XCSDL DC'!#REF!</f>
        <v>#REF!</v>
      </c>
      <c r="AT148" s="609">
        <f>D148*'Don gia XCSDL DC'!$K$26</f>
        <v>0</v>
      </c>
      <c r="AU148" s="609">
        <f>J148*'Don gia XCSDL DC'!$K$34</f>
        <v>0</v>
      </c>
      <c r="AV148" s="609">
        <f>O148*'Don gia XCSDL DC'!$K$37</f>
        <v>0</v>
      </c>
      <c r="AW148" s="610" t="e">
        <f t="shared" si="80"/>
        <v>#REF!</v>
      </c>
      <c r="AX148" s="611" t="e">
        <f t="shared" si="81"/>
        <v>#REF!</v>
      </c>
      <c r="AY148" s="806" t="e">
        <f t="shared" si="78"/>
        <v>#REF!</v>
      </c>
      <c r="AZ148" s="612" t="e">
        <f>D148*'Don gia XCSDL DC'!#REF!</f>
        <v>#REF!</v>
      </c>
      <c r="BA148" s="613" t="e">
        <f>(Q148+M148)*'Don gia XCSDL DC'!#REF!</f>
        <v>#REF!</v>
      </c>
    </row>
    <row r="149" spans="1:53" ht="24.75" customHeight="1">
      <c r="A149" s="599"/>
      <c r="B149" s="445">
        <v>8</v>
      </c>
      <c r="C149" s="445" t="s">
        <v>409</v>
      </c>
      <c r="D149" s="600">
        <v>23</v>
      </c>
      <c r="E149" s="601">
        <v>23</v>
      </c>
      <c r="F149" s="601">
        <v>1</v>
      </c>
      <c r="G149" s="602">
        <v>1</v>
      </c>
      <c r="H149" s="601"/>
      <c r="I149" s="601"/>
      <c r="J149" s="604">
        <v>52404</v>
      </c>
      <c r="K149" s="604">
        <v>52404</v>
      </c>
      <c r="L149" s="604">
        <v>52404</v>
      </c>
      <c r="M149" s="605">
        <f t="shared" si="79"/>
        <v>10480.800000000001</v>
      </c>
      <c r="N149" s="604">
        <f t="shared" si="73"/>
        <v>41923.199999999997</v>
      </c>
      <c r="O149" s="604">
        <f t="shared" si="82"/>
        <v>38275.881599999993</v>
      </c>
      <c r="P149" s="604">
        <f t="shared" si="74"/>
        <v>19867.381599999993</v>
      </c>
      <c r="Q149" s="604">
        <f t="shared" si="75"/>
        <v>3647.3184000000037</v>
      </c>
      <c r="R149" s="604"/>
      <c r="S149" s="606">
        <v>31108</v>
      </c>
      <c r="T149" s="604">
        <f t="shared" si="83"/>
        <v>1555.4</v>
      </c>
      <c r="U149" s="621">
        <f>110451/6-T149</f>
        <v>16853.099999999999</v>
      </c>
      <c r="V149" s="604">
        <f t="shared" si="76"/>
        <v>12699.5</v>
      </c>
      <c r="W149" s="604"/>
      <c r="X149" s="607">
        <f t="shared" si="71"/>
        <v>0.7098022226236046</v>
      </c>
      <c r="Y149" s="608">
        <f t="shared" si="77"/>
        <v>373296</v>
      </c>
      <c r="AA149" s="609">
        <f>D149*'Don gia XCSDL DC'!$K$8</f>
        <v>10608.981719655154</v>
      </c>
      <c r="AB149" s="609">
        <f>D149*'Don gia XCSDL DC'!$K$9</f>
        <v>10122.262044655155</v>
      </c>
      <c r="AC149" s="609" t="e">
        <f>D149*'Don gia XCSDL DC'!#REF!</f>
        <v>#REF!</v>
      </c>
      <c r="AD149" s="609">
        <f>D149*'Don gia XCSDL DC'!$K$10</f>
        <v>40759.582338233136</v>
      </c>
      <c r="AE149" s="609">
        <f>J149*'Don gia XCSDL DC'!$K$11</f>
        <v>0</v>
      </c>
      <c r="AF149" s="609" t="e">
        <f>S149*'Don gia XCSDL DC'!#REF!</f>
        <v>#REF!</v>
      </c>
      <c r="AG149" s="609" t="e">
        <f>D149*'Don gia XCSDL DC'!#REF!</f>
        <v>#REF!</v>
      </c>
      <c r="AH149" s="609" t="e">
        <f>J149*'Don gia XCSDL DC'!#REF!</f>
        <v>#REF!</v>
      </c>
      <c r="AI149" s="609" t="e">
        <f>D149*'Don gia XCSDL DC'!#REF!</f>
        <v>#REF!</v>
      </c>
      <c r="AJ149" s="609">
        <f>S149*2*'Don gia XCSDL DC'!$K$24</f>
        <v>531983379.04905516</v>
      </c>
      <c r="AK149" s="609" t="e">
        <f>S149*3*'Don gia XCSDL DC'!#REF!</f>
        <v>#REF!</v>
      </c>
      <c r="AL149" s="609" t="e">
        <f>(S149*2+S149*3)*('Don gia XCSDL DC'!#REF!+'Don gia XCSDL DC'!#REF!+'Don gia XCSDL DC'!#REF!)</f>
        <v>#REF!</v>
      </c>
      <c r="AM149" s="609" t="e">
        <f>O149*'Don gia XCSDL DC'!#REF!*50%</f>
        <v>#REF!</v>
      </c>
      <c r="AN149" s="609" t="e">
        <f>T149*'Don gia XCSDL DC'!#REF!*$AN$8</f>
        <v>#REF!</v>
      </c>
      <c r="AO149" s="609" t="e">
        <f>U149*'Don gia XCSDL DC'!#REF!*1</f>
        <v>#REF!</v>
      </c>
      <c r="AP149" s="609" t="e">
        <f>P149*X149*'Don gia XCSDL DC'!#REF!</f>
        <v>#REF!</v>
      </c>
      <c r="AQ149" s="609" t="e">
        <f>Q149*$AQ$8*'Don gia XCSDL DC'!#REF!</f>
        <v>#REF!</v>
      </c>
      <c r="AR149" s="609" t="e">
        <f>M149*$AR$8*'Don gia XCSDL DC'!#REF!</f>
        <v>#REF!</v>
      </c>
      <c r="AS149" s="609" t="e">
        <f>J149*'Don gia XCSDL DC'!#REF!</f>
        <v>#REF!</v>
      </c>
      <c r="AT149" s="609">
        <f>D149*'Don gia XCSDL DC'!$K$26</f>
        <v>0</v>
      </c>
      <c r="AU149" s="609">
        <f>J149*'Don gia XCSDL DC'!$K$34</f>
        <v>0</v>
      </c>
      <c r="AV149" s="609">
        <f>O149*'Don gia XCSDL DC'!$K$37</f>
        <v>0</v>
      </c>
      <c r="AW149" s="610" t="e">
        <f t="shared" si="80"/>
        <v>#REF!</v>
      </c>
      <c r="AX149" s="611" t="e">
        <f t="shared" si="81"/>
        <v>#REF!</v>
      </c>
      <c r="AY149" s="806" t="e">
        <f t="shared" si="78"/>
        <v>#REF!</v>
      </c>
      <c r="AZ149" s="612" t="e">
        <f>D149*'Don gia XCSDL DC'!#REF!</f>
        <v>#REF!</v>
      </c>
      <c r="BA149" s="613" t="e">
        <f>(Q149+M149)*'Don gia XCSDL DC'!#REF!</f>
        <v>#REF!</v>
      </c>
    </row>
    <row r="150" spans="1:53" ht="24.75" customHeight="1">
      <c r="A150" s="599"/>
      <c r="B150" s="445">
        <v>9</v>
      </c>
      <c r="C150" s="445" t="s">
        <v>410</v>
      </c>
      <c r="D150" s="600">
        <v>39</v>
      </c>
      <c r="E150" s="601">
        <v>39</v>
      </c>
      <c r="F150" s="601">
        <v>1</v>
      </c>
      <c r="G150" s="602">
        <v>1</v>
      </c>
      <c r="H150" s="601"/>
      <c r="I150" s="601"/>
      <c r="J150" s="604">
        <v>139055</v>
      </c>
      <c r="K150" s="604">
        <v>139055</v>
      </c>
      <c r="L150" s="604">
        <v>139055</v>
      </c>
      <c r="M150" s="605">
        <f t="shared" si="79"/>
        <v>27811</v>
      </c>
      <c r="N150" s="604">
        <f t="shared" si="73"/>
        <v>111244</v>
      </c>
      <c r="O150" s="604">
        <f t="shared" si="82"/>
        <v>101565.772</v>
      </c>
      <c r="P150" s="604">
        <f t="shared" si="74"/>
        <v>71960.549777777764</v>
      </c>
      <c r="Q150" s="604">
        <f t="shared" si="75"/>
        <v>9678.2280000000028</v>
      </c>
      <c r="R150" s="604"/>
      <c r="S150" s="606">
        <v>48892</v>
      </c>
      <c r="T150" s="603">
        <f t="shared" si="83"/>
        <v>2444.6</v>
      </c>
      <c r="U150" s="636">
        <f>266447/9-T150</f>
        <v>27160.622222222224</v>
      </c>
      <c r="V150" s="603">
        <f t="shared" si="76"/>
        <v>19286.777777777777</v>
      </c>
      <c r="W150" s="603"/>
      <c r="X150" s="607">
        <f t="shared" si="71"/>
        <v>0.41123248598242756</v>
      </c>
      <c r="Y150" s="608">
        <f t="shared" si="77"/>
        <v>586704</v>
      </c>
      <c r="AA150" s="609">
        <f>D150*'Don gia XCSDL DC'!$K$8</f>
        <v>17989.142915936998</v>
      </c>
      <c r="AB150" s="609">
        <f>D150*'Don gia XCSDL DC'!$K$9</f>
        <v>17163.835640937003</v>
      </c>
      <c r="AC150" s="609" t="e">
        <f>D150*'Don gia XCSDL DC'!#REF!</f>
        <v>#REF!</v>
      </c>
      <c r="AD150" s="609">
        <f>D150*'Don gia XCSDL DC'!$K$10</f>
        <v>69114.074399612713</v>
      </c>
      <c r="AE150" s="609">
        <f>J150*'Don gia XCSDL DC'!$K$11</f>
        <v>0</v>
      </c>
      <c r="AF150" s="609" t="e">
        <f>S150*'Don gia XCSDL DC'!#REF!</f>
        <v>#REF!</v>
      </c>
      <c r="AG150" s="609" t="e">
        <f>D150*'Don gia XCSDL DC'!#REF!</f>
        <v>#REF!</v>
      </c>
      <c r="AH150" s="609" t="e">
        <f>J150*'Don gia XCSDL DC'!#REF!</f>
        <v>#REF!</v>
      </c>
      <c r="AI150" s="609" t="e">
        <f>D150*'Don gia XCSDL DC'!#REF!</f>
        <v>#REF!</v>
      </c>
      <c r="AJ150" s="609">
        <f>S150*2*'Don gia XCSDL DC'!$K$24</f>
        <v>836110690.7697829</v>
      </c>
      <c r="AK150" s="609" t="e">
        <f>S150*3*'Don gia XCSDL DC'!#REF!</f>
        <v>#REF!</v>
      </c>
      <c r="AL150" s="609" t="e">
        <f>(S150*2+S150*3)*('Don gia XCSDL DC'!#REF!+'Don gia XCSDL DC'!#REF!+'Don gia XCSDL DC'!#REF!)</f>
        <v>#REF!</v>
      </c>
      <c r="AM150" s="609" t="e">
        <f>O150*'Don gia XCSDL DC'!#REF!*50%</f>
        <v>#REF!</v>
      </c>
      <c r="AN150" s="609" t="e">
        <f>T150*'Don gia XCSDL DC'!#REF!*$AN$8</f>
        <v>#REF!</v>
      </c>
      <c r="AO150" s="609" t="e">
        <f>U150*'Don gia XCSDL DC'!#REF!*1</f>
        <v>#REF!</v>
      </c>
      <c r="AP150" s="609" t="e">
        <f>P150*X150*'Don gia XCSDL DC'!#REF!</f>
        <v>#REF!</v>
      </c>
      <c r="AQ150" s="609" t="e">
        <f>Q150*$AQ$8*'Don gia XCSDL DC'!#REF!</f>
        <v>#REF!</v>
      </c>
      <c r="AR150" s="609" t="e">
        <f>M150*$AR$8*'Don gia XCSDL DC'!#REF!</f>
        <v>#REF!</v>
      </c>
      <c r="AS150" s="609" t="e">
        <f>J150*'Don gia XCSDL DC'!#REF!</f>
        <v>#REF!</v>
      </c>
      <c r="AT150" s="609">
        <f>D150*'Don gia XCSDL DC'!$K$26</f>
        <v>0</v>
      </c>
      <c r="AU150" s="609">
        <f>J150*'Don gia XCSDL DC'!$K$34</f>
        <v>0</v>
      </c>
      <c r="AV150" s="609">
        <f>O150*'Don gia XCSDL DC'!$K$37</f>
        <v>0</v>
      </c>
      <c r="AW150" s="610" t="e">
        <f t="shared" si="80"/>
        <v>#REF!</v>
      </c>
      <c r="AX150" s="611" t="e">
        <f t="shared" si="81"/>
        <v>#REF!</v>
      </c>
      <c r="AY150" s="806" t="e">
        <f t="shared" si="78"/>
        <v>#REF!</v>
      </c>
      <c r="AZ150" s="612" t="e">
        <f>D150*'Don gia XCSDL DC'!#REF!</f>
        <v>#REF!</v>
      </c>
      <c r="BA150" s="613" t="e">
        <f>(Q150+M150)*'Don gia XCSDL DC'!#REF!</f>
        <v>#REF!</v>
      </c>
    </row>
    <row r="151" spans="1:53" ht="24.75" customHeight="1">
      <c r="A151" s="599"/>
      <c r="B151" s="445">
        <v>10</v>
      </c>
      <c r="C151" s="445" t="s">
        <v>411</v>
      </c>
      <c r="D151" s="600">
        <v>30</v>
      </c>
      <c r="E151" s="601">
        <v>30</v>
      </c>
      <c r="F151" s="601">
        <v>1</v>
      </c>
      <c r="G151" s="602">
        <v>1</v>
      </c>
      <c r="H151" s="601"/>
      <c r="I151" s="601"/>
      <c r="J151" s="604">
        <v>165528</v>
      </c>
      <c r="K151" s="604">
        <v>165528</v>
      </c>
      <c r="L151" s="604">
        <v>165528</v>
      </c>
      <c r="M151" s="605">
        <f t="shared" si="79"/>
        <v>33105.599999999999</v>
      </c>
      <c r="N151" s="604">
        <f t="shared" si="73"/>
        <v>132422.39999999999</v>
      </c>
      <c r="O151" s="604">
        <f t="shared" si="82"/>
        <v>120901.65119999998</v>
      </c>
      <c r="P151" s="604">
        <f t="shared" si="74"/>
        <v>90210.31786666665</v>
      </c>
      <c r="Q151" s="604">
        <f t="shared" si="75"/>
        <v>11520.748800000016</v>
      </c>
      <c r="R151" s="604"/>
      <c r="S151" s="606">
        <v>53759</v>
      </c>
      <c r="T151" s="604">
        <f t="shared" si="83"/>
        <v>2687.9500000000003</v>
      </c>
      <c r="U151" s="621">
        <f>184148/6-T151</f>
        <v>28003.383333333331</v>
      </c>
      <c r="V151" s="604">
        <f t="shared" si="76"/>
        <v>23067.666666666672</v>
      </c>
      <c r="W151" s="604"/>
      <c r="X151" s="607">
        <f t="shared" si="71"/>
        <v>0.40133183423367169</v>
      </c>
      <c r="Y151" s="608">
        <f t="shared" si="77"/>
        <v>645108</v>
      </c>
      <c r="AA151" s="609">
        <f>D151*'Don gia XCSDL DC'!$K$8</f>
        <v>13837.802243028462</v>
      </c>
      <c r="AB151" s="609">
        <f>D151*'Don gia XCSDL DC'!$K$9</f>
        <v>13202.950493028464</v>
      </c>
      <c r="AC151" s="609" t="e">
        <f>D151*'Don gia XCSDL DC'!#REF!</f>
        <v>#REF!</v>
      </c>
      <c r="AD151" s="609">
        <f>D151*'Don gia XCSDL DC'!$K$10</f>
        <v>53164.672615086696</v>
      </c>
      <c r="AE151" s="609">
        <f>J151*'Don gia XCSDL DC'!$K$11</f>
        <v>0</v>
      </c>
      <c r="AF151" s="609" t="e">
        <f>S151*'Don gia XCSDL DC'!#REF!</f>
        <v>#REF!</v>
      </c>
      <c r="AG151" s="609" t="e">
        <f>D151*'Don gia XCSDL DC'!#REF!</f>
        <v>#REF!</v>
      </c>
      <c r="AH151" s="609" t="e">
        <f>J151*'Don gia XCSDL DC'!#REF!</f>
        <v>#REF!</v>
      </c>
      <c r="AI151" s="609" t="e">
        <f>D151*'Don gia XCSDL DC'!#REF!</f>
        <v>#REF!</v>
      </c>
      <c r="AJ151" s="609">
        <f>S151*2*'Don gia XCSDL DC'!$K$24</f>
        <v>919342113.74238646</v>
      </c>
      <c r="AK151" s="609" t="e">
        <f>S151*3*'Don gia XCSDL DC'!#REF!</f>
        <v>#REF!</v>
      </c>
      <c r="AL151" s="609" t="e">
        <f>(S151*2+S151*3)*('Don gia XCSDL DC'!#REF!+'Don gia XCSDL DC'!#REF!+'Don gia XCSDL DC'!#REF!)</f>
        <v>#REF!</v>
      </c>
      <c r="AM151" s="609" t="e">
        <f>O151*'Don gia XCSDL DC'!#REF!*50%</f>
        <v>#REF!</v>
      </c>
      <c r="AN151" s="609" t="e">
        <f>T151*'Don gia XCSDL DC'!#REF!*$AN$8</f>
        <v>#REF!</v>
      </c>
      <c r="AO151" s="609" t="e">
        <f>U151*'Don gia XCSDL DC'!#REF!*1</f>
        <v>#REF!</v>
      </c>
      <c r="AP151" s="609" t="e">
        <f>P151*X151*'Don gia XCSDL DC'!#REF!</f>
        <v>#REF!</v>
      </c>
      <c r="AQ151" s="609" t="e">
        <f>Q151*$AQ$8*'Don gia XCSDL DC'!#REF!</f>
        <v>#REF!</v>
      </c>
      <c r="AR151" s="609" t="e">
        <f>M151*$AR$8*'Don gia XCSDL DC'!#REF!</f>
        <v>#REF!</v>
      </c>
      <c r="AS151" s="609" t="e">
        <f>J151*'Don gia XCSDL DC'!#REF!</f>
        <v>#REF!</v>
      </c>
      <c r="AT151" s="609">
        <f>D151*'Don gia XCSDL DC'!$K$26</f>
        <v>0</v>
      </c>
      <c r="AU151" s="609">
        <f>J151*'Don gia XCSDL DC'!$K$34</f>
        <v>0</v>
      </c>
      <c r="AV151" s="609">
        <f>O151*'Don gia XCSDL DC'!$K$37</f>
        <v>0</v>
      </c>
      <c r="AW151" s="610" t="e">
        <f t="shared" si="80"/>
        <v>#REF!</v>
      </c>
      <c r="AX151" s="611" t="e">
        <f t="shared" si="81"/>
        <v>#REF!</v>
      </c>
      <c r="AY151" s="806" t="e">
        <f t="shared" si="78"/>
        <v>#REF!</v>
      </c>
      <c r="AZ151" s="612" t="e">
        <f>D151*'Don gia XCSDL DC'!#REF!</f>
        <v>#REF!</v>
      </c>
      <c r="BA151" s="613" t="e">
        <f>(Q151+M151)*'Don gia XCSDL DC'!#REF!</f>
        <v>#REF!</v>
      </c>
    </row>
    <row r="152" spans="1:53" ht="24.75" customHeight="1">
      <c r="A152" s="599"/>
      <c r="B152" s="445">
        <v>11</v>
      </c>
      <c r="C152" s="445" t="s">
        <v>412</v>
      </c>
      <c r="D152" s="600">
        <v>40</v>
      </c>
      <c r="E152" s="601">
        <v>40</v>
      </c>
      <c r="F152" s="601">
        <v>1</v>
      </c>
      <c r="G152" s="602">
        <v>1</v>
      </c>
      <c r="H152" s="601"/>
      <c r="I152" s="601"/>
      <c r="J152" s="604">
        <v>264715</v>
      </c>
      <c r="K152" s="604"/>
      <c r="L152" s="604">
        <f>205372/4*5+8000</f>
        <v>264715</v>
      </c>
      <c r="M152" s="605">
        <f t="shared" si="79"/>
        <v>52943</v>
      </c>
      <c r="N152" s="604">
        <f t="shared" si="73"/>
        <v>211772</v>
      </c>
      <c r="O152" s="604">
        <f t="shared" si="82"/>
        <v>193347.83599999998</v>
      </c>
      <c r="P152" s="604">
        <f t="shared" si="74"/>
        <v>169880.72488888886</v>
      </c>
      <c r="Q152" s="604">
        <f t="shared" si="75"/>
        <v>18424.164000000019</v>
      </c>
      <c r="R152" s="604"/>
      <c r="S152" s="606">
        <f>211204/5*2.5</f>
        <v>105602</v>
      </c>
      <c r="T152" s="604">
        <f t="shared" si="83"/>
        <v>5280.1</v>
      </c>
      <c r="U152" s="621">
        <f>211204/9-T152</f>
        <v>18187.011111111111</v>
      </c>
      <c r="V152" s="604">
        <f t="shared" si="76"/>
        <v>82134.888888888876</v>
      </c>
      <c r="W152" s="604"/>
      <c r="X152" s="607">
        <f t="shared" si="71"/>
        <v>0.58454278741190613</v>
      </c>
      <c r="Y152" s="608">
        <f t="shared" si="77"/>
        <v>1267224</v>
      </c>
      <c r="AA152" s="609">
        <f>D152*'Don gia XCSDL DC'!$K$8</f>
        <v>18450.402990704613</v>
      </c>
      <c r="AB152" s="609">
        <f>D152*'Don gia XCSDL DC'!$K$9</f>
        <v>17603.933990704616</v>
      </c>
      <c r="AC152" s="609" t="e">
        <f>D152*'Don gia XCSDL DC'!#REF!</f>
        <v>#REF!</v>
      </c>
      <c r="AD152" s="609">
        <f>D152*'Don gia XCSDL DC'!$K$10</f>
        <v>70886.230153448938</v>
      </c>
      <c r="AE152" s="609">
        <f>J152*'Don gia XCSDL DC'!$K$11</f>
        <v>0</v>
      </c>
      <c r="AF152" s="609" t="e">
        <f>S152*'Don gia XCSDL DC'!#REF!</f>
        <v>#REF!</v>
      </c>
      <c r="AG152" s="609" t="e">
        <f>D152*'Don gia XCSDL DC'!#REF!</f>
        <v>#REF!</v>
      </c>
      <c r="AH152" s="609" t="e">
        <f>J152*'Don gia XCSDL DC'!#REF!</f>
        <v>#REF!</v>
      </c>
      <c r="AI152" s="609" t="e">
        <f>D152*'Don gia XCSDL DC'!#REF!</f>
        <v>#REF!</v>
      </c>
      <c r="AJ152" s="609">
        <f>S152*2*'Don gia XCSDL DC'!$K$24</f>
        <v>1805918374.5126116</v>
      </c>
      <c r="AK152" s="609" t="e">
        <f>S152*3*'Don gia XCSDL DC'!#REF!</f>
        <v>#REF!</v>
      </c>
      <c r="AL152" s="609" t="e">
        <f>(S152*2+S152*3)*('Don gia XCSDL DC'!#REF!+'Don gia XCSDL DC'!#REF!+'Don gia XCSDL DC'!#REF!)</f>
        <v>#REF!</v>
      </c>
      <c r="AM152" s="609" t="e">
        <f>O152*'Don gia XCSDL DC'!#REF!*50%</f>
        <v>#REF!</v>
      </c>
      <c r="AN152" s="609" t="e">
        <f>T152*'Don gia XCSDL DC'!#REF!*$AN$8</f>
        <v>#REF!</v>
      </c>
      <c r="AO152" s="609" t="e">
        <f>U152*'Don gia XCSDL DC'!#REF!*1</f>
        <v>#REF!</v>
      </c>
      <c r="AP152" s="609" t="e">
        <f>P152*X152*'Don gia XCSDL DC'!#REF!</f>
        <v>#REF!</v>
      </c>
      <c r="AQ152" s="609" t="e">
        <f>Q152*$AQ$8*'Don gia XCSDL DC'!#REF!</f>
        <v>#REF!</v>
      </c>
      <c r="AR152" s="609" t="e">
        <f>M152*$AR$8*'Don gia XCSDL DC'!#REF!</f>
        <v>#REF!</v>
      </c>
      <c r="AS152" s="609" t="e">
        <f>J152*'Don gia XCSDL DC'!#REF!</f>
        <v>#REF!</v>
      </c>
      <c r="AT152" s="609">
        <f>D152*'Don gia XCSDL DC'!$K$26</f>
        <v>0</v>
      </c>
      <c r="AU152" s="609">
        <f>J152*'Don gia XCSDL DC'!$K$34</f>
        <v>0</v>
      </c>
      <c r="AV152" s="609">
        <f>O152*'Don gia XCSDL DC'!$K$37</f>
        <v>0</v>
      </c>
      <c r="AW152" s="610" t="e">
        <f t="shared" si="80"/>
        <v>#REF!</v>
      </c>
      <c r="AX152" s="611" t="e">
        <f t="shared" si="81"/>
        <v>#REF!</v>
      </c>
      <c r="AY152" s="806" t="e">
        <f t="shared" si="78"/>
        <v>#REF!</v>
      </c>
      <c r="AZ152" s="612" t="e">
        <f>D152*'Don gia XCSDL DC'!#REF!</f>
        <v>#REF!</v>
      </c>
      <c r="BA152" s="613" t="e">
        <f>(Q152+M152)*'Don gia XCSDL DC'!#REF!</f>
        <v>#REF!</v>
      </c>
    </row>
    <row r="153" spans="1:53" ht="24.75" customHeight="1">
      <c r="A153" s="599"/>
      <c r="B153" s="445">
        <v>12</v>
      </c>
      <c r="C153" s="445" t="s">
        <v>413</v>
      </c>
      <c r="D153" s="600">
        <v>33</v>
      </c>
      <c r="E153" s="601">
        <v>33</v>
      </c>
      <c r="F153" s="601">
        <v>1</v>
      </c>
      <c r="G153" s="602">
        <v>1</v>
      </c>
      <c r="H153" s="601"/>
      <c r="I153" s="601"/>
      <c r="J153" s="604">
        <v>193890</v>
      </c>
      <c r="K153" s="614"/>
      <c r="L153" s="659">
        <v>193890</v>
      </c>
      <c r="M153" s="605">
        <f t="shared" si="79"/>
        <v>38778</v>
      </c>
      <c r="N153" s="604">
        <f t="shared" si="73"/>
        <v>155112</v>
      </c>
      <c r="O153" s="604">
        <f t="shared" si="82"/>
        <v>141617.25599999999</v>
      </c>
      <c r="P153" s="604">
        <f t="shared" si="74"/>
        <v>121540.17266666665</v>
      </c>
      <c r="Q153" s="604">
        <f t="shared" si="75"/>
        <v>13494.744000000006</v>
      </c>
      <c r="R153" s="604"/>
      <c r="S153" s="606">
        <v>88549</v>
      </c>
      <c r="T153" s="604">
        <f t="shared" si="83"/>
        <v>4427.45</v>
      </c>
      <c r="U153" s="621">
        <f>240925/12-T153</f>
        <v>15649.633333333331</v>
      </c>
      <c r="V153" s="604">
        <f t="shared" si="76"/>
        <v>68471.916666666672</v>
      </c>
      <c r="W153" s="604"/>
      <c r="X153" s="607">
        <f t="shared" si="71"/>
        <v>0.64879648093890807</v>
      </c>
      <c r="Y153" s="608">
        <f t="shared" si="77"/>
        <v>1062588</v>
      </c>
      <c r="AA153" s="609">
        <f>D153*'Don gia XCSDL DC'!$K$8</f>
        <v>15221.582467331307</v>
      </c>
      <c r="AB153" s="609">
        <f>D153*'Don gia XCSDL DC'!$K$9</f>
        <v>14523.245542331309</v>
      </c>
      <c r="AC153" s="609" t="e">
        <f>D153*'Don gia XCSDL DC'!#REF!</f>
        <v>#REF!</v>
      </c>
      <c r="AD153" s="609">
        <f>D153*'Don gia XCSDL DC'!$K$10</f>
        <v>58481.139876595371</v>
      </c>
      <c r="AE153" s="609">
        <f>J153*'Don gia XCSDL DC'!$K$11</f>
        <v>0</v>
      </c>
      <c r="AF153" s="609" t="e">
        <f>S153*'Don gia XCSDL DC'!#REF!</f>
        <v>#REF!</v>
      </c>
      <c r="AG153" s="609" t="e">
        <f>D153*'Don gia XCSDL DC'!#REF!</f>
        <v>#REF!</v>
      </c>
      <c r="AH153" s="609" t="e">
        <f>J153*'Don gia XCSDL DC'!#REF!</f>
        <v>#REF!</v>
      </c>
      <c r="AI153" s="609" t="e">
        <f>D153*'Don gia XCSDL DC'!#REF!</f>
        <v>#REF!</v>
      </c>
      <c r="AJ153" s="609">
        <f>S153*2*'Don gia XCSDL DC'!$K$24</f>
        <v>1514292022.3548536</v>
      </c>
      <c r="AK153" s="609" t="e">
        <f>S153*3*'Don gia XCSDL DC'!#REF!</f>
        <v>#REF!</v>
      </c>
      <c r="AL153" s="609" t="e">
        <f>(S153*2+S153*3)*('Don gia XCSDL DC'!#REF!+'Don gia XCSDL DC'!#REF!+'Don gia XCSDL DC'!#REF!)</f>
        <v>#REF!</v>
      </c>
      <c r="AM153" s="609" t="e">
        <f>O153*'Don gia XCSDL DC'!#REF!*50%</f>
        <v>#REF!</v>
      </c>
      <c r="AN153" s="609" t="e">
        <f>T153*'Don gia XCSDL DC'!#REF!*$AN$8</f>
        <v>#REF!</v>
      </c>
      <c r="AO153" s="609" t="e">
        <f>U153*'Don gia XCSDL DC'!#REF!*1</f>
        <v>#REF!</v>
      </c>
      <c r="AP153" s="609" t="e">
        <f>P153*X153*'Don gia XCSDL DC'!#REF!</f>
        <v>#REF!</v>
      </c>
      <c r="AQ153" s="609" t="e">
        <f>Q153*$AQ$8*'Don gia XCSDL DC'!#REF!</f>
        <v>#REF!</v>
      </c>
      <c r="AR153" s="609" t="e">
        <f>M153*$AR$8*'Don gia XCSDL DC'!#REF!</f>
        <v>#REF!</v>
      </c>
      <c r="AS153" s="609" t="e">
        <f>J153*'Don gia XCSDL DC'!#REF!</f>
        <v>#REF!</v>
      </c>
      <c r="AT153" s="609">
        <f>D153*'Don gia XCSDL DC'!$K$26</f>
        <v>0</v>
      </c>
      <c r="AU153" s="609">
        <f>J153*'Don gia XCSDL DC'!$K$34</f>
        <v>0</v>
      </c>
      <c r="AV153" s="609">
        <f>O153*'Don gia XCSDL DC'!$K$37</f>
        <v>0</v>
      </c>
      <c r="AW153" s="610" t="e">
        <f t="shared" si="80"/>
        <v>#REF!</v>
      </c>
      <c r="AX153" s="611" t="e">
        <f t="shared" si="81"/>
        <v>#REF!</v>
      </c>
      <c r="AY153" s="806" t="e">
        <f t="shared" si="78"/>
        <v>#REF!</v>
      </c>
      <c r="AZ153" s="612" t="e">
        <f>D153*'Don gia XCSDL DC'!#REF!</f>
        <v>#REF!</v>
      </c>
      <c r="BA153" s="613" t="e">
        <f>(Q153+M153)*'Don gia XCSDL DC'!#REF!</f>
        <v>#REF!</v>
      </c>
    </row>
    <row r="154" spans="1:53" s="723" customFormat="1" ht="24.75" customHeight="1">
      <c r="A154" s="712"/>
      <c r="B154" s="713"/>
      <c r="C154" s="713" t="s">
        <v>414</v>
      </c>
      <c r="D154" s="714">
        <v>33</v>
      </c>
      <c r="E154" s="715">
        <v>33</v>
      </c>
      <c r="F154" s="715"/>
      <c r="G154" s="715">
        <v>1</v>
      </c>
      <c r="H154" s="715"/>
      <c r="I154" s="715"/>
      <c r="J154" s="718">
        <v>295583</v>
      </c>
      <c r="K154" s="716"/>
      <c r="L154" s="751"/>
      <c r="M154" s="719"/>
      <c r="N154" s="718"/>
      <c r="O154" s="718"/>
      <c r="P154" s="718"/>
      <c r="Q154" s="718"/>
      <c r="R154" s="718"/>
      <c r="S154" s="718"/>
      <c r="T154" s="718"/>
      <c r="U154" s="730"/>
      <c r="V154" s="718"/>
      <c r="W154" s="718"/>
      <c r="X154" s="721" t="e">
        <f t="shared" si="71"/>
        <v>#DIV/0!</v>
      </c>
      <c r="Y154" s="722"/>
      <c r="AA154" s="609"/>
      <c r="AB154" s="609"/>
      <c r="AC154" s="609"/>
      <c r="AD154" s="724"/>
      <c r="AE154" s="724"/>
      <c r="AF154" s="724"/>
      <c r="AG154" s="724"/>
      <c r="AH154" s="724"/>
      <c r="AI154" s="724"/>
      <c r="AJ154" s="724"/>
      <c r="AK154" s="724"/>
      <c r="AL154" s="724"/>
      <c r="AM154" s="724"/>
      <c r="AN154" s="724"/>
      <c r="AO154" s="724"/>
      <c r="AP154" s="724"/>
      <c r="AQ154" s="724"/>
      <c r="AR154" s="724"/>
      <c r="AS154" s="724"/>
      <c r="AT154" s="724"/>
      <c r="AU154" s="724"/>
      <c r="AV154" s="609"/>
      <c r="AW154" s="610"/>
      <c r="AX154" s="611"/>
      <c r="AY154" s="807"/>
      <c r="AZ154" s="612"/>
      <c r="BA154" s="613"/>
    </row>
    <row r="155" spans="1:53" s="598" customFormat="1" ht="24.75" customHeight="1">
      <c r="A155" s="589">
        <v>2</v>
      </c>
      <c r="B155" s="1945" t="s">
        <v>415</v>
      </c>
      <c r="C155" s="1945"/>
      <c r="D155" s="594"/>
      <c r="E155" s="595">
        <f>SUM(E156:E167)</f>
        <v>235</v>
      </c>
      <c r="F155" s="595">
        <f>SUM(F156:F167)</f>
        <v>12</v>
      </c>
      <c r="G155" s="596">
        <f>SUM(G156:G168)</f>
        <v>13</v>
      </c>
      <c r="H155" s="595">
        <v>13</v>
      </c>
      <c r="I155" s="595"/>
      <c r="J155" s="595">
        <f t="shared" ref="J155:Q155" si="84">SUM(J156:J167)</f>
        <v>2654482</v>
      </c>
      <c r="K155" s="595">
        <f t="shared" si="84"/>
        <v>1519243</v>
      </c>
      <c r="L155" s="595">
        <f t="shared" si="84"/>
        <v>1745246.4000000001</v>
      </c>
      <c r="M155" s="595">
        <f t="shared" si="84"/>
        <v>581208.67000000004</v>
      </c>
      <c r="N155" s="595">
        <f t="shared" si="84"/>
        <v>2073273.3299999998</v>
      </c>
      <c r="O155" s="595">
        <f t="shared" si="84"/>
        <v>1460313</v>
      </c>
      <c r="P155" s="595">
        <f t="shared" si="84"/>
        <v>1171401.1800000002</v>
      </c>
      <c r="Q155" s="595">
        <f t="shared" si="84"/>
        <v>612960.32999999984</v>
      </c>
      <c r="R155" s="595"/>
      <c r="S155" s="595">
        <f>SUM(S156:S167)</f>
        <v>535011</v>
      </c>
      <c r="T155" s="595">
        <f>SUM(T156:T167)</f>
        <v>21310.820000000003</v>
      </c>
      <c r="U155" s="595">
        <v>267601</v>
      </c>
      <c r="V155" s="595">
        <f>SUM(V156:V167)</f>
        <v>246099.18</v>
      </c>
      <c r="W155" s="597">
        <f>89.2%</f>
        <v>0.89200000000000002</v>
      </c>
      <c r="X155" s="607">
        <f t="shared" si="71"/>
        <v>0.36463726955276493</v>
      </c>
      <c r="Y155" s="595">
        <f>SUM(Y156:Y167)</f>
        <v>6420132</v>
      </c>
      <c r="AA155" s="609"/>
      <c r="AB155" s="609"/>
      <c r="AC155" s="609"/>
      <c r="AD155" s="609"/>
      <c r="AE155" s="609"/>
      <c r="AF155" s="609"/>
      <c r="AG155" s="609"/>
      <c r="AH155" s="609"/>
      <c r="AI155" s="609"/>
      <c r="AJ155" s="609"/>
      <c r="AK155" s="609"/>
      <c r="AL155" s="609"/>
      <c r="AM155" s="609"/>
      <c r="AN155" s="609"/>
      <c r="AO155" s="609"/>
      <c r="AP155" s="609"/>
      <c r="AQ155" s="609"/>
      <c r="AR155" s="609"/>
      <c r="AS155" s="609"/>
      <c r="AT155" s="609"/>
      <c r="AU155" s="609"/>
      <c r="AV155" s="609"/>
      <c r="AW155" s="610"/>
      <c r="AX155" s="611"/>
      <c r="AY155" s="806"/>
      <c r="AZ155" s="612"/>
      <c r="BA155" s="613"/>
    </row>
    <row r="156" spans="1:53" ht="24.75" customHeight="1">
      <c r="A156" s="660"/>
      <c r="B156" s="445">
        <v>1</v>
      </c>
      <c r="C156" s="445" t="s">
        <v>416</v>
      </c>
      <c r="D156" s="600">
        <v>16</v>
      </c>
      <c r="E156" s="601">
        <v>16</v>
      </c>
      <c r="F156" s="601">
        <v>1</v>
      </c>
      <c r="G156" s="602">
        <v>1</v>
      </c>
      <c r="H156" s="661"/>
      <c r="I156" s="661"/>
      <c r="J156" s="662">
        <f>113739</f>
        <v>113739</v>
      </c>
      <c r="K156" s="604">
        <v>113739</v>
      </c>
      <c r="L156" s="608">
        <v>113739</v>
      </c>
      <c r="M156" s="605">
        <f>J156*8%</f>
        <v>9099.1200000000008</v>
      </c>
      <c r="N156" s="604">
        <f t="shared" ref="N156:N167" si="85">J156-M156</f>
        <v>104639.88</v>
      </c>
      <c r="O156" s="663">
        <v>103172</v>
      </c>
      <c r="P156" s="604">
        <f t="shared" ref="P156:P167" si="86">O156-T156-U156</f>
        <v>71453.600000000006</v>
      </c>
      <c r="Q156" s="604">
        <f t="shared" ref="Q156:Q167" si="87">N156-O156</f>
        <v>1467.8800000000047</v>
      </c>
      <c r="R156" s="604"/>
      <c r="S156" s="664">
        <v>42022</v>
      </c>
      <c r="T156" s="604">
        <f>S156*20%</f>
        <v>8404.4</v>
      </c>
      <c r="U156" s="665">
        <v>23314</v>
      </c>
      <c r="V156" s="604">
        <f t="shared" ref="V156:V167" si="88">S156-T156-U156</f>
        <v>10303.599999999999</v>
      </c>
      <c r="W156" s="604"/>
      <c r="X156" s="607">
        <f t="shared" si="71"/>
        <v>0.31163902777162533</v>
      </c>
      <c r="Y156" s="608">
        <f t="shared" ref="Y156:Y167" si="89">S156*12</f>
        <v>504264</v>
      </c>
      <c r="AA156" s="609">
        <f>D156*'Don gia XCSDL DC'!$K$8</f>
        <v>7380.1611962818461</v>
      </c>
      <c r="AB156" s="609">
        <f>D156*'Don gia XCSDL DC'!$K$9</f>
        <v>7041.5735962818471</v>
      </c>
      <c r="AC156" s="609" t="e">
        <f>D156*'Don gia XCSDL DC'!#REF!</f>
        <v>#REF!</v>
      </c>
      <c r="AD156" s="609">
        <f>D156*'Don gia XCSDL DC'!$K$10</f>
        <v>28354.492061379573</v>
      </c>
      <c r="AE156" s="609">
        <f>J156*'Don gia XCSDL DC'!$K$11</f>
        <v>0</v>
      </c>
      <c r="AF156" s="609" t="e">
        <f>S156*'Don gia XCSDL DC'!#REF!</f>
        <v>#REF!</v>
      </c>
      <c r="AG156" s="609" t="e">
        <f>D156*'Don gia XCSDL DC'!#REF!</f>
        <v>#REF!</v>
      </c>
      <c r="AH156" s="609" t="e">
        <f>J156*'Don gia XCSDL DC'!#REF!</f>
        <v>#REF!</v>
      </c>
      <c r="AI156" s="609" t="e">
        <f>D156*'Don gia XCSDL DC'!#REF!</f>
        <v>#REF!</v>
      </c>
      <c r="AJ156" s="609">
        <f>S156*2*'Don gia XCSDL DC'!$K$24</f>
        <v>718625612.52409017</v>
      </c>
      <c r="AK156" s="609" t="e">
        <f>S156*3*'Don gia XCSDL DC'!#REF!</f>
        <v>#REF!</v>
      </c>
      <c r="AL156" s="609" t="e">
        <f>(S156*2+S156*3)*('Don gia XCSDL DC'!#REF!+'Don gia XCSDL DC'!#REF!+'Don gia XCSDL DC'!#REF!)</f>
        <v>#REF!</v>
      </c>
      <c r="AM156" s="609" t="e">
        <f>O156*'Don gia XCSDL DC'!#REF!*50%</f>
        <v>#REF!</v>
      </c>
      <c r="AN156" s="609" t="e">
        <f>T156*'Don gia XCSDL DC'!#REF!*$AN$8</f>
        <v>#REF!</v>
      </c>
      <c r="AO156" s="609" t="e">
        <f>U156*'Don gia XCSDL DC'!#REF!*1</f>
        <v>#REF!</v>
      </c>
      <c r="AP156" s="609" t="e">
        <f>P156*X156*'Don gia XCSDL DC'!#REF!</f>
        <v>#REF!</v>
      </c>
      <c r="AQ156" s="609" t="e">
        <f>Q156*$AQ$8*'Don gia XCSDL DC'!#REF!</f>
        <v>#REF!</v>
      </c>
      <c r="AR156" s="609" t="e">
        <f>M156*$AR$8*'Don gia XCSDL DC'!#REF!</f>
        <v>#REF!</v>
      </c>
      <c r="AS156" s="609" t="e">
        <f>J156*'Don gia XCSDL DC'!#REF!</f>
        <v>#REF!</v>
      </c>
      <c r="AT156" s="609">
        <f>D156*'Don gia XCSDL DC'!$K$26</f>
        <v>0</v>
      </c>
      <c r="AU156" s="609">
        <f>J156*'Don gia XCSDL DC'!$K$34</f>
        <v>0</v>
      </c>
      <c r="AV156" s="609">
        <f>O156*'Don gia XCSDL DC'!$K$37</f>
        <v>0</v>
      </c>
      <c r="AW156" s="610" t="e">
        <f t="shared" si="80"/>
        <v>#REF!</v>
      </c>
      <c r="AX156" s="611" t="e">
        <f t="shared" si="81"/>
        <v>#REF!</v>
      </c>
      <c r="AY156" s="806" t="e">
        <f t="shared" si="78"/>
        <v>#REF!</v>
      </c>
      <c r="AZ156" s="612" t="e">
        <f>D156*'Don gia XCSDL DC'!#REF!</f>
        <v>#REF!</v>
      </c>
      <c r="BA156" s="613" t="e">
        <f>(Q156+M156)*'Don gia XCSDL DC'!#REF!</f>
        <v>#REF!</v>
      </c>
    </row>
    <row r="157" spans="1:53" ht="24.75" customHeight="1">
      <c r="A157" s="660"/>
      <c r="B157" s="445">
        <v>2</v>
      </c>
      <c r="C157" s="445" t="s">
        <v>417</v>
      </c>
      <c r="D157" s="600">
        <v>6</v>
      </c>
      <c r="E157" s="601">
        <v>6</v>
      </c>
      <c r="F157" s="601">
        <v>1</v>
      </c>
      <c r="G157" s="602">
        <v>1</v>
      </c>
      <c r="H157" s="661"/>
      <c r="I157" s="661"/>
      <c r="J157" s="662">
        <f>62098</f>
        <v>62098</v>
      </c>
      <c r="K157" s="604">
        <v>62098</v>
      </c>
      <c r="L157" s="608">
        <v>43214.1</v>
      </c>
      <c r="M157" s="605">
        <f>J157*20%</f>
        <v>12419.6</v>
      </c>
      <c r="N157" s="604">
        <f t="shared" si="85"/>
        <v>49678.400000000001</v>
      </c>
      <c r="O157" s="663">
        <v>35055</v>
      </c>
      <c r="P157" s="604">
        <f t="shared" si="86"/>
        <v>25375.699999999997</v>
      </c>
      <c r="Q157" s="604">
        <f t="shared" si="87"/>
        <v>14623.400000000001</v>
      </c>
      <c r="R157" s="604"/>
      <c r="S157" s="664">
        <v>14653</v>
      </c>
      <c r="T157" s="604">
        <f>S157*10%</f>
        <v>1465.3000000000002</v>
      </c>
      <c r="U157" s="665">
        <v>8214</v>
      </c>
      <c r="V157" s="604">
        <f t="shared" si="88"/>
        <v>4973.7000000000007</v>
      </c>
      <c r="W157" s="604"/>
      <c r="X157" s="607">
        <f t="shared" si="71"/>
        <v>0.35330633843298564</v>
      </c>
      <c r="Y157" s="608">
        <f t="shared" si="89"/>
        <v>175836</v>
      </c>
      <c r="AA157" s="609">
        <f>D157*'Don gia XCSDL DC'!$K$8</f>
        <v>2767.5604486056923</v>
      </c>
      <c r="AB157" s="609">
        <f>D157*'Don gia XCSDL DC'!$K$9</f>
        <v>2640.5900986056927</v>
      </c>
      <c r="AC157" s="609" t="e">
        <f>D157*'Don gia XCSDL DC'!#REF!</f>
        <v>#REF!</v>
      </c>
      <c r="AD157" s="609">
        <f>D157*'Don gia XCSDL DC'!$K$10</f>
        <v>10632.93452301734</v>
      </c>
      <c r="AE157" s="609">
        <f>J157*'Don gia XCSDL DC'!$K$11</f>
        <v>0</v>
      </c>
      <c r="AF157" s="609" t="e">
        <f>S157*'Don gia XCSDL DC'!#REF!</f>
        <v>#REF!</v>
      </c>
      <c r="AG157" s="609" t="e">
        <f>D157*'Don gia XCSDL DC'!#REF!</f>
        <v>#REF!</v>
      </c>
      <c r="AH157" s="609" t="e">
        <f>J157*'Don gia XCSDL DC'!#REF!</f>
        <v>#REF!</v>
      </c>
      <c r="AI157" s="609" t="e">
        <f>D157*'Don gia XCSDL DC'!#REF!</f>
        <v>#REF!</v>
      </c>
      <c r="AJ157" s="609">
        <f>S157*2*'Don gia XCSDL DC'!$K$24</f>
        <v>250583530.06319293</v>
      </c>
      <c r="AK157" s="609" t="e">
        <f>S157*3*'Don gia XCSDL DC'!#REF!</f>
        <v>#REF!</v>
      </c>
      <c r="AL157" s="609" t="e">
        <f>(S157*2+S157*3)*('Don gia XCSDL DC'!#REF!+'Don gia XCSDL DC'!#REF!+'Don gia XCSDL DC'!#REF!)</f>
        <v>#REF!</v>
      </c>
      <c r="AM157" s="609" t="e">
        <f>O157*'Don gia XCSDL DC'!#REF!*50%</f>
        <v>#REF!</v>
      </c>
      <c r="AN157" s="609" t="e">
        <f>T157*'Don gia XCSDL DC'!#REF!*$AN$8</f>
        <v>#REF!</v>
      </c>
      <c r="AO157" s="609" t="e">
        <f>U157*'Don gia XCSDL DC'!#REF!*1</f>
        <v>#REF!</v>
      </c>
      <c r="AP157" s="609" t="e">
        <f>P157*X157*'Don gia XCSDL DC'!#REF!</f>
        <v>#REF!</v>
      </c>
      <c r="AQ157" s="609" t="e">
        <f>Q157*$AQ$8*'Don gia XCSDL DC'!#REF!</f>
        <v>#REF!</v>
      </c>
      <c r="AR157" s="609" t="e">
        <f>M157*$AR$8*'Don gia XCSDL DC'!#REF!</f>
        <v>#REF!</v>
      </c>
      <c r="AS157" s="609" t="e">
        <f>J157*'Don gia XCSDL DC'!#REF!</f>
        <v>#REF!</v>
      </c>
      <c r="AT157" s="609">
        <f>D157*'Don gia XCSDL DC'!$K$26</f>
        <v>0</v>
      </c>
      <c r="AU157" s="609">
        <f>J157*'Don gia XCSDL DC'!$K$34</f>
        <v>0</v>
      </c>
      <c r="AV157" s="609">
        <f>O157*'Don gia XCSDL DC'!$K$37</f>
        <v>0</v>
      </c>
      <c r="AW157" s="610" t="e">
        <f t="shared" si="80"/>
        <v>#REF!</v>
      </c>
      <c r="AX157" s="611" t="e">
        <f t="shared" si="81"/>
        <v>#REF!</v>
      </c>
      <c r="AY157" s="806" t="e">
        <f t="shared" si="78"/>
        <v>#REF!</v>
      </c>
      <c r="AZ157" s="612" t="e">
        <f>D157*'Don gia XCSDL DC'!#REF!</f>
        <v>#REF!</v>
      </c>
      <c r="BA157" s="613" t="e">
        <f>(Q157+M157)*'Don gia XCSDL DC'!#REF!</f>
        <v>#REF!</v>
      </c>
    </row>
    <row r="158" spans="1:53" ht="24.75" customHeight="1">
      <c r="A158" s="660"/>
      <c r="B158" s="445">
        <v>3</v>
      </c>
      <c r="C158" s="445" t="s">
        <v>418</v>
      </c>
      <c r="D158" s="600">
        <v>12</v>
      </c>
      <c r="E158" s="601">
        <v>12</v>
      </c>
      <c r="F158" s="601">
        <v>1</v>
      </c>
      <c r="G158" s="602">
        <v>1</v>
      </c>
      <c r="H158" s="661"/>
      <c r="I158" s="661"/>
      <c r="J158" s="662">
        <f>169801</f>
        <v>169801</v>
      </c>
      <c r="K158" s="604">
        <v>169801</v>
      </c>
      <c r="L158" s="608">
        <v>98446.5</v>
      </c>
      <c r="M158" s="605">
        <f>J158*20%</f>
        <v>33960.200000000004</v>
      </c>
      <c r="N158" s="604">
        <f t="shared" si="85"/>
        <v>135840.79999999999</v>
      </c>
      <c r="O158" s="663">
        <v>67320</v>
      </c>
      <c r="P158" s="604">
        <f t="shared" si="86"/>
        <v>51473</v>
      </c>
      <c r="Q158" s="604">
        <f t="shared" si="87"/>
        <v>68520.799999999988</v>
      </c>
      <c r="R158" s="604"/>
      <c r="S158" s="664">
        <v>23430</v>
      </c>
      <c r="T158" s="604">
        <f>S158*10%</f>
        <v>2343</v>
      </c>
      <c r="U158" s="665">
        <v>13504</v>
      </c>
      <c r="V158" s="604">
        <f t="shared" si="88"/>
        <v>7583</v>
      </c>
      <c r="W158" s="604"/>
      <c r="X158" s="607">
        <f t="shared" si="71"/>
        <v>0.31414865877340503</v>
      </c>
      <c r="Y158" s="608">
        <f t="shared" si="89"/>
        <v>281160</v>
      </c>
      <c r="AA158" s="609">
        <f>D158*'Don gia XCSDL DC'!$K$8</f>
        <v>5535.1208972113845</v>
      </c>
      <c r="AB158" s="609">
        <f>D158*'Don gia XCSDL DC'!$K$9</f>
        <v>5281.1801972113853</v>
      </c>
      <c r="AC158" s="609" t="e">
        <f>D158*'Don gia XCSDL DC'!#REF!</f>
        <v>#REF!</v>
      </c>
      <c r="AD158" s="609">
        <f>D158*'Don gia XCSDL DC'!$K$10</f>
        <v>21265.869046034681</v>
      </c>
      <c r="AE158" s="609">
        <f>J158*'Don gia XCSDL DC'!$K$11</f>
        <v>0</v>
      </c>
      <c r="AF158" s="609" t="e">
        <f>S158*'Don gia XCSDL DC'!#REF!</f>
        <v>#REF!</v>
      </c>
      <c r="AG158" s="609" t="e">
        <f>D158*'Don gia XCSDL DC'!#REF!</f>
        <v>#REF!</v>
      </c>
      <c r="AH158" s="609" t="e">
        <f>J158*'Don gia XCSDL DC'!#REF!</f>
        <v>#REF!</v>
      </c>
      <c r="AI158" s="609" t="e">
        <f>D158*'Don gia XCSDL DC'!#REF!</f>
        <v>#REF!</v>
      </c>
      <c r="AJ158" s="609">
        <f>S158*2*'Don gia XCSDL DC'!$K$24</f>
        <v>400680550.69819218</v>
      </c>
      <c r="AK158" s="609" t="e">
        <f>S158*3*'Don gia XCSDL DC'!#REF!</f>
        <v>#REF!</v>
      </c>
      <c r="AL158" s="609" t="e">
        <f>(S158*2+S158*3)*('Don gia XCSDL DC'!#REF!+'Don gia XCSDL DC'!#REF!+'Don gia XCSDL DC'!#REF!)</f>
        <v>#REF!</v>
      </c>
      <c r="AM158" s="609" t="e">
        <f>O158*'Don gia XCSDL DC'!#REF!*50%</f>
        <v>#REF!</v>
      </c>
      <c r="AN158" s="609" t="e">
        <f>T158*'Don gia XCSDL DC'!#REF!*$AN$8</f>
        <v>#REF!</v>
      </c>
      <c r="AO158" s="609" t="e">
        <f>U158*'Don gia XCSDL DC'!#REF!*1</f>
        <v>#REF!</v>
      </c>
      <c r="AP158" s="609" t="e">
        <f>P158*X158*'Don gia XCSDL DC'!#REF!</f>
        <v>#REF!</v>
      </c>
      <c r="AQ158" s="609" t="e">
        <f>Q158*$AQ$8*'Don gia XCSDL DC'!#REF!</f>
        <v>#REF!</v>
      </c>
      <c r="AR158" s="609" t="e">
        <f>M158*$AR$8*'Don gia XCSDL DC'!#REF!</f>
        <v>#REF!</v>
      </c>
      <c r="AS158" s="609" t="e">
        <f>J158*'Don gia XCSDL DC'!#REF!</f>
        <v>#REF!</v>
      </c>
      <c r="AT158" s="609">
        <f>D158*'Don gia XCSDL DC'!$K$26</f>
        <v>0</v>
      </c>
      <c r="AU158" s="609">
        <f>J158*'Don gia XCSDL DC'!$K$34</f>
        <v>0</v>
      </c>
      <c r="AV158" s="609">
        <f>O158*'Don gia XCSDL DC'!$K$37</f>
        <v>0</v>
      </c>
      <c r="AW158" s="610" t="e">
        <f t="shared" si="80"/>
        <v>#REF!</v>
      </c>
      <c r="AX158" s="611" t="e">
        <f t="shared" si="81"/>
        <v>#REF!</v>
      </c>
      <c r="AY158" s="806" t="e">
        <f t="shared" si="78"/>
        <v>#REF!</v>
      </c>
      <c r="AZ158" s="612" t="e">
        <f>D158*'Don gia XCSDL DC'!#REF!</f>
        <v>#REF!</v>
      </c>
      <c r="BA158" s="613" t="e">
        <f>(Q158+M158)*'Don gia XCSDL DC'!#REF!</f>
        <v>#REF!</v>
      </c>
    </row>
    <row r="159" spans="1:53" ht="24.75" customHeight="1">
      <c r="A159" s="660"/>
      <c r="B159" s="445">
        <v>4</v>
      </c>
      <c r="C159" s="445" t="s">
        <v>419</v>
      </c>
      <c r="D159" s="600">
        <v>21</v>
      </c>
      <c r="E159" s="601">
        <v>21</v>
      </c>
      <c r="F159" s="601">
        <v>1</v>
      </c>
      <c r="G159" s="602">
        <v>1</v>
      </c>
      <c r="H159" s="661"/>
      <c r="I159" s="661"/>
      <c r="J159" s="662">
        <f>250195</f>
        <v>250195</v>
      </c>
      <c r="K159" s="604">
        <v>150117</v>
      </c>
      <c r="L159" s="608">
        <v>215281.1</v>
      </c>
      <c r="M159" s="605">
        <f>J159*15%</f>
        <v>37529.25</v>
      </c>
      <c r="N159" s="604">
        <f t="shared" si="85"/>
        <v>212665.75</v>
      </c>
      <c r="O159" s="663">
        <v>200198</v>
      </c>
      <c r="P159" s="604">
        <f t="shared" si="86"/>
        <v>173507.48</v>
      </c>
      <c r="Q159" s="604">
        <f t="shared" si="87"/>
        <v>12467.75</v>
      </c>
      <c r="R159" s="604"/>
      <c r="S159" s="664">
        <v>56676</v>
      </c>
      <c r="T159" s="604">
        <f t="shared" ref="T159:T167" si="90">S159*2%</f>
        <v>1133.52</v>
      </c>
      <c r="U159" s="665">
        <v>25557</v>
      </c>
      <c r="V159" s="604">
        <f t="shared" si="88"/>
        <v>29985.480000000003</v>
      </c>
      <c r="W159" s="604"/>
      <c r="X159" s="607">
        <f t="shared" si="71"/>
        <v>0.33465918186551857</v>
      </c>
      <c r="Y159" s="608">
        <f t="shared" si="89"/>
        <v>680112</v>
      </c>
      <c r="AA159" s="609">
        <f>D159*'Don gia XCSDL DC'!$K$8</f>
        <v>9686.4615701199236</v>
      </c>
      <c r="AB159" s="609">
        <f>D159*'Don gia XCSDL DC'!$K$9</f>
        <v>9242.065345119925</v>
      </c>
      <c r="AC159" s="609" t="e">
        <f>D159*'Don gia XCSDL DC'!#REF!</f>
        <v>#REF!</v>
      </c>
      <c r="AD159" s="609">
        <f>D159*'Don gia XCSDL DC'!$K$10</f>
        <v>37215.270830560687</v>
      </c>
      <c r="AE159" s="609">
        <f>J159*'Don gia XCSDL DC'!$K$11</f>
        <v>0</v>
      </c>
      <c r="AF159" s="609" t="e">
        <f>S159*'Don gia XCSDL DC'!#REF!</f>
        <v>#REF!</v>
      </c>
      <c r="AG159" s="609" t="e">
        <f>D159*'Don gia XCSDL DC'!#REF!</f>
        <v>#REF!</v>
      </c>
      <c r="AH159" s="609" t="e">
        <f>J159*'Don gia XCSDL DC'!#REF!</f>
        <v>#REF!</v>
      </c>
      <c r="AI159" s="609" t="e">
        <f>D159*'Don gia XCSDL DC'!#REF!</f>
        <v>#REF!</v>
      </c>
      <c r="AJ159" s="609">
        <f>S159*2*'Don gia XCSDL DC'!$K$24</f>
        <v>969226243.76315582</v>
      </c>
      <c r="AK159" s="609" t="e">
        <f>S159*3*'Don gia XCSDL DC'!#REF!</f>
        <v>#REF!</v>
      </c>
      <c r="AL159" s="609" t="e">
        <f>(S159*2+S159*3)*('Don gia XCSDL DC'!#REF!+'Don gia XCSDL DC'!#REF!+'Don gia XCSDL DC'!#REF!)</f>
        <v>#REF!</v>
      </c>
      <c r="AM159" s="609" t="e">
        <f>O159*'Don gia XCSDL DC'!#REF!*50%</f>
        <v>#REF!</v>
      </c>
      <c r="AN159" s="609" t="e">
        <f>T159*'Don gia XCSDL DC'!#REF!*$AN$8</f>
        <v>#REF!</v>
      </c>
      <c r="AO159" s="609" t="e">
        <f>U159*'Don gia XCSDL DC'!#REF!*1</f>
        <v>#REF!</v>
      </c>
      <c r="AP159" s="609" t="e">
        <f>P159*X159*'Don gia XCSDL DC'!#REF!</f>
        <v>#REF!</v>
      </c>
      <c r="AQ159" s="609" t="e">
        <f>Q159*$AQ$8*'Don gia XCSDL DC'!#REF!</f>
        <v>#REF!</v>
      </c>
      <c r="AR159" s="609" t="e">
        <f>M159*$AR$8*'Don gia XCSDL DC'!#REF!</f>
        <v>#REF!</v>
      </c>
      <c r="AS159" s="609" t="e">
        <f>J159*'Don gia XCSDL DC'!#REF!</f>
        <v>#REF!</v>
      </c>
      <c r="AT159" s="609">
        <f>D159*'Don gia XCSDL DC'!$K$26</f>
        <v>0</v>
      </c>
      <c r="AU159" s="609">
        <f>J159*'Don gia XCSDL DC'!$K$34</f>
        <v>0</v>
      </c>
      <c r="AV159" s="609">
        <f>O159*'Don gia XCSDL DC'!$K$37</f>
        <v>0</v>
      </c>
      <c r="AW159" s="610" t="e">
        <f t="shared" si="80"/>
        <v>#REF!</v>
      </c>
      <c r="AX159" s="611" t="e">
        <f t="shared" si="81"/>
        <v>#REF!</v>
      </c>
      <c r="AY159" s="806" t="e">
        <f t="shared" si="78"/>
        <v>#REF!</v>
      </c>
      <c r="AZ159" s="612" t="e">
        <f>D159*'Don gia XCSDL DC'!#REF!</f>
        <v>#REF!</v>
      </c>
      <c r="BA159" s="613" t="e">
        <f>(Q159+M159)*'Don gia XCSDL DC'!#REF!</f>
        <v>#REF!</v>
      </c>
    </row>
    <row r="160" spans="1:53" ht="24.75" customHeight="1">
      <c r="A160" s="660"/>
      <c r="B160" s="445">
        <v>5</v>
      </c>
      <c r="C160" s="445" t="s">
        <v>420</v>
      </c>
      <c r="D160" s="600">
        <v>19</v>
      </c>
      <c r="E160" s="601">
        <v>19</v>
      </c>
      <c r="F160" s="601">
        <v>1</v>
      </c>
      <c r="G160" s="602">
        <v>1</v>
      </c>
      <c r="H160" s="661"/>
      <c r="I160" s="661"/>
      <c r="J160" s="662">
        <f>188766</f>
        <v>188766</v>
      </c>
      <c r="K160" s="604">
        <v>188766</v>
      </c>
      <c r="L160" s="608">
        <v>119161.5</v>
      </c>
      <c r="M160" s="605">
        <f>J160*20%</f>
        <v>37753.200000000004</v>
      </c>
      <c r="N160" s="604">
        <f t="shared" si="85"/>
        <v>151012.79999999999</v>
      </c>
      <c r="O160" s="663">
        <v>89077</v>
      </c>
      <c r="P160" s="604">
        <f t="shared" si="86"/>
        <v>60550.3</v>
      </c>
      <c r="Q160" s="604">
        <f t="shared" si="87"/>
        <v>61935.799999999988</v>
      </c>
      <c r="R160" s="604"/>
      <c r="S160" s="664">
        <v>45585</v>
      </c>
      <c r="T160" s="604">
        <f t="shared" si="90"/>
        <v>911.7</v>
      </c>
      <c r="U160" s="665">
        <v>27615</v>
      </c>
      <c r="V160" s="604">
        <f t="shared" si="88"/>
        <v>17058.300000000003</v>
      </c>
      <c r="W160" s="604"/>
      <c r="X160" s="607">
        <f t="shared" si="71"/>
        <v>0.42225396650100977</v>
      </c>
      <c r="Y160" s="608">
        <f t="shared" si="89"/>
        <v>547020</v>
      </c>
      <c r="AA160" s="609">
        <f>D160*'Don gia XCSDL DC'!$K$8</f>
        <v>8763.9414205846915</v>
      </c>
      <c r="AB160" s="609">
        <f>D160*'Don gia XCSDL DC'!$K$9</f>
        <v>8361.8686455846928</v>
      </c>
      <c r="AC160" s="609" t="e">
        <f>D160*'Don gia XCSDL DC'!#REF!</f>
        <v>#REF!</v>
      </c>
      <c r="AD160" s="609">
        <f>D160*'Don gia XCSDL DC'!$K$10</f>
        <v>33670.959322888244</v>
      </c>
      <c r="AE160" s="609">
        <f>J160*'Don gia XCSDL DC'!$K$11</f>
        <v>0</v>
      </c>
      <c r="AF160" s="609" t="e">
        <f>S160*'Don gia XCSDL DC'!#REF!</f>
        <v>#REF!</v>
      </c>
      <c r="AG160" s="609" t="e">
        <f>D160*'Don gia XCSDL DC'!#REF!</f>
        <v>#REF!</v>
      </c>
      <c r="AH160" s="609" t="e">
        <f>J160*'Don gia XCSDL DC'!#REF!</f>
        <v>#REF!</v>
      </c>
      <c r="AI160" s="609" t="e">
        <f>D160*'Don gia XCSDL DC'!#REF!</f>
        <v>#REF!</v>
      </c>
      <c r="AJ160" s="609">
        <f>S160*2*'Don gia XCSDL DC'!$K$24</f>
        <v>779557102.1586467</v>
      </c>
      <c r="AK160" s="609" t="e">
        <f>S160*3*'Don gia XCSDL DC'!#REF!</f>
        <v>#REF!</v>
      </c>
      <c r="AL160" s="609" t="e">
        <f>(S160*2+S160*3)*('Don gia XCSDL DC'!#REF!+'Don gia XCSDL DC'!#REF!+'Don gia XCSDL DC'!#REF!)</f>
        <v>#REF!</v>
      </c>
      <c r="AM160" s="609" t="e">
        <f>O160*'Don gia XCSDL DC'!#REF!*50%</f>
        <v>#REF!</v>
      </c>
      <c r="AN160" s="609" t="e">
        <f>T160*'Don gia XCSDL DC'!#REF!*$AN$8</f>
        <v>#REF!</v>
      </c>
      <c r="AO160" s="609" t="e">
        <f>U160*'Don gia XCSDL DC'!#REF!*1</f>
        <v>#REF!</v>
      </c>
      <c r="AP160" s="609" t="e">
        <f>P160*X160*'Don gia XCSDL DC'!#REF!</f>
        <v>#REF!</v>
      </c>
      <c r="AQ160" s="609" t="e">
        <f>Q160*$AQ$8*'Don gia XCSDL DC'!#REF!</f>
        <v>#REF!</v>
      </c>
      <c r="AR160" s="609" t="e">
        <f>M160*$AR$8*'Don gia XCSDL DC'!#REF!</f>
        <v>#REF!</v>
      </c>
      <c r="AS160" s="609" t="e">
        <f>J160*'Don gia XCSDL DC'!#REF!</f>
        <v>#REF!</v>
      </c>
      <c r="AT160" s="609">
        <f>D160*'Don gia XCSDL DC'!$K$26</f>
        <v>0</v>
      </c>
      <c r="AU160" s="609">
        <f>J160*'Don gia XCSDL DC'!$K$34</f>
        <v>0</v>
      </c>
      <c r="AV160" s="609">
        <f>O160*'Don gia XCSDL DC'!$K$37</f>
        <v>0</v>
      </c>
      <c r="AW160" s="610" t="e">
        <f t="shared" si="80"/>
        <v>#REF!</v>
      </c>
      <c r="AX160" s="611" t="e">
        <f t="shared" si="81"/>
        <v>#REF!</v>
      </c>
      <c r="AY160" s="806" t="e">
        <f t="shared" si="78"/>
        <v>#REF!</v>
      </c>
      <c r="AZ160" s="612" t="e">
        <f>D160*'Don gia XCSDL DC'!#REF!</f>
        <v>#REF!</v>
      </c>
      <c r="BA160" s="613" t="e">
        <f>(Q160+M160)*'Don gia XCSDL DC'!#REF!</f>
        <v>#REF!</v>
      </c>
    </row>
    <row r="161" spans="1:53" ht="24.75" customHeight="1">
      <c r="A161" s="660"/>
      <c r="B161" s="445">
        <v>6</v>
      </c>
      <c r="C161" s="445" t="s">
        <v>421</v>
      </c>
      <c r="D161" s="600">
        <v>31</v>
      </c>
      <c r="E161" s="601">
        <v>31</v>
      </c>
      <c r="F161" s="601">
        <v>1</v>
      </c>
      <c r="G161" s="602">
        <v>1</v>
      </c>
      <c r="H161" s="661"/>
      <c r="I161" s="661"/>
      <c r="J161" s="662">
        <f>360263</f>
        <v>360263</v>
      </c>
      <c r="K161" s="604">
        <v>216158</v>
      </c>
      <c r="L161" s="608">
        <v>200000</v>
      </c>
      <c r="M161" s="605">
        <f>J161*20%</f>
        <v>72052.600000000006</v>
      </c>
      <c r="N161" s="604">
        <f t="shared" si="85"/>
        <v>288210.40000000002</v>
      </c>
      <c r="O161" s="663">
        <v>201138</v>
      </c>
      <c r="P161" s="604">
        <f t="shared" si="86"/>
        <v>164835.46</v>
      </c>
      <c r="Q161" s="604">
        <f t="shared" si="87"/>
        <v>87072.400000000023</v>
      </c>
      <c r="R161" s="604"/>
      <c r="S161" s="664">
        <v>66827</v>
      </c>
      <c r="T161" s="604">
        <f t="shared" si="90"/>
        <v>1336.54</v>
      </c>
      <c r="U161" s="665">
        <v>34966</v>
      </c>
      <c r="V161" s="604">
        <f t="shared" si="88"/>
        <v>30524.46</v>
      </c>
      <c r="W161" s="604"/>
      <c r="X161" s="607">
        <f t="shared" si="71"/>
        <v>0.34460242432322991</v>
      </c>
      <c r="Y161" s="608">
        <f t="shared" si="89"/>
        <v>801924</v>
      </c>
      <c r="AA161" s="609">
        <f>D161*'Don gia XCSDL DC'!$K$8</f>
        <v>14299.062317796077</v>
      </c>
      <c r="AB161" s="609">
        <f>D161*'Don gia XCSDL DC'!$K$9</f>
        <v>13643.048842796079</v>
      </c>
      <c r="AC161" s="609" t="e">
        <f>D161*'Don gia XCSDL DC'!#REF!</f>
        <v>#REF!</v>
      </c>
      <c r="AD161" s="609">
        <f>D161*'Don gia XCSDL DC'!$K$10</f>
        <v>54936.828368922921</v>
      </c>
      <c r="AE161" s="609">
        <f>J161*'Don gia XCSDL DC'!$K$11</f>
        <v>0</v>
      </c>
      <c r="AF161" s="609" t="e">
        <f>S161*'Don gia XCSDL DC'!#REF!</f>
        <v>#REF!</v>
      </c>
      <c r="AG161" s="609" t="e">
        <f>D161*'Don gia XCSDL DC'!#REF!</f>
        <v>#REF!</v>
      </c>
      <c r="AH161" s="609" t="e">
        <f>J161*'Don gia XCSDL DC'!#REF!</f>
        <v>#REF!</v>
      </c>
      <c r="AI161" s="609" t="e">
        <f>D161*'Don gia XCSDL DC'!#REF!</f>
        <v>#REF!</v>
      </c>
      <c r="AJ161" s="609">
        <f>S161*2*'Don gia XCSDL DC'!$K$24</f>
        <v>1142820280.0472937</v>
      </c>
      <c r="AK161" s="609" t="e">
        <f>S161*3*'Don gia XCSDL DC'!#REF!</f>
        <v>#REF!</v>
      </c>
      <c r="AL161" s="609" t="e">
        <f>(S161*2+S161*3)*('Don gia XCSDL DC'!#REF!+'Don gia XCSDL DC'!#REF!+'Don gia XCSDL DC'!#REF!)</f>
        <v>#REF!</v>
      </c>
      <c r="AM161" s="609" t="e">
        <f>O161*'Don gia XCSDL DC'!#REF!*50%</f>
        <v>#REF!</v>
      </c>
      <c r="AN161" s="609" t="e">
        <f>T161*'Don gia XCSDL DC'!#REF!*$AN$8</f>
        <v>#REF!</v>
      </c>
      <c r="AO161" s="609" t="e">
        <f>U161*'Don gia XCSDL DC'!#REF!*1</f>
        <v>#REF!</v>
      </c>
      <c r="AP161" s="609" t="e">
        <f>P161*X161*'Don gia XCSDL DC'!#REF!</f>
        <v>#REF!</v>
      </c>
      <c r="AQ161" s="609" t="e">
        <f>Q161*$AQ$8*'Don gia XCSDL DC'!#REF!</f>
        <v>#REF!</v>
      </c>
      <c r="AR161" s="609" t="e">
        <f>M161*$AR$8*'Don gia XCSDL DC'!#REF!</f>
        <v>#REF!</v>
      </c>
      <c r="AS161" s="609" t="e">
        <f>J161*'Don gia XCSDL DC'!#REF!</f>
        <v>#REF!</v>
      </c>
      <c r="AT161" s="609">
        <f>D161*'Don gia XCSDL DC'!$K$26</f>
        <v>0</v>
      </c>
      <c r="AU161" s="609">
        <f>J161*'Don gia XCSDL DC'!$K$34</f>
        <v>0</v>
      </c>
      <c r="AV161" s="609">
        <f>O161*'Don gia XCSDL DC'!$K$37</f>
        <v>0</v>
      </c>
      <c r="AW161" s="610" t="e">
        <f t="shared" si="80"/>
        <v>#REF!</v>
      </c>
      <c r="AX161" s="611" t="e">
        <f t="shared" si="81"/>
        <v>#REF!</v>
      </c>
      <c r="AY161" s="806" t="e">
        <f t="shared" si="78"/>
        <v>#REF!</v>
      </c>
      <c r="AZ161" s="612" t="e">
        <f>D161*'Don gia XCSDL DC'!#REF!</f>
        <v>#REF!</v>
      </c>
      <c r="BA161" s="613" t="e">
        <f>(Q161+M161)*'Don gia XCSDL DC'!#REF!</f>
        <v>#REF!</v>
      </c>
    </row>
    <row r="162" spans="1:53" ht="24.75" customHeight="1">
      <c r="A162" s="660"/>
      <c r="B162" s="445">
        <v>7</v>
      </c>
      <c r="C162" s="445" t="s">
        <v>422</v>
      </c>
      <c r="D162" s="600">
        <v>28</v>
      </c>
      <c r="E162" s="601">
        <v>28</v>
      </c>
      <c r="F162" s="601">
        <v>1</v>
      </c>
      <c r="G162" s="602">
        <v>1</v>
      </c>
      <c r="H162" s="661"/>
      <c r="I162" s="661"/>
      <c r="J162" s="662">
        <f>266234</f>
        <v>266234</v>
      </c>
      <c r="K162" s="604">
        <v>159740</v>
      </c>
      <c r="L162" s="608">
        <v>200599.2</v>
      </c>
      <c r="M162" s="605">
        <f>J162*20%</f>
        <v>53246.8</v>
      </c>
      <c r="N162" s="604">
        <f t="shared" si="85"/>
        <v>212987.2</v>
      </c>
      <c r="O162" s="663">
        <v>172410</v>
      </c>
      <c r="P162" s="604">
        <f t="shared" si="86"/>
        <v>146392.92000000001</v>
      </c>
      <c r="Q162" s="604">
        <f t="shared" si="87"/>
        <v>40577.200000000012</v>
      </c>
      <c r="R162" s="604"/>
      <c r="S162" s="664">
        <v>53104</v>
      </c>
      <c r="T162" s="604">
        <f t="shared" si="90"/>
        <v>1062.08</v>
      </c>
      <c r="U162" s="665">
        <v>24955</v>
      </c>
      <c r="V162" s="604">
        <f t="shared" si="88"/>
        <v>27086.92</v>
      </c>
      <c r="W162" s="604"/>
      <c r="X162" s="607">
        <f t="shared" si="71"/>
        <v>0.34447976214197762</v>
      </c>
      <c r="Y162" s="608">
        <f t="shared" si="89"/>
        <v>637248</v>
      </c>
      <c r="AA162" s="609">
        <f>D162*'Don gia XCSDL DC'!$K$8</f>
        <v>12915.282093493232</v>
      </c>
      <c r="AB162" s="609">
        <f>D162*'Don gia XCSDL DC'!$K$9</f>
        <v>12322.753793493233</v>
      </c>
      <c r="AC162" s="609" t="e">
        <f>D162*'Don gia XCSDL DC'!#REF!</f>
        <v>#REF!</v>
      </c>
      <c r="AD162" s="609">
        <f>D162*'Don gia XCSDL DC'!$K$10</f>
        <v>49620.361107414254</v>
      </c>
      <c r="AE162" s="609">
        <f>J162*'Don gia XCSDL DC'!$K$11</f>
        <v>0</v>
      </c>
      <c r="AF162" s="609" t="e">
        <f>S162*'Don gia XCSDL DC'!#REF!</f>
        <v>#REF!</v>
      </c>
      <c r="AG162" s="609" t="e">
        <f>D162*'Don gia XCSDL DC'!#REF!</f>
        <v>#REF!</v>
      </c>
      <c r="AH162" s="609" t="e">
        <f>J162*'Don gia XCSDL DC'!#REF!</f>
        <v>#REF!</v>
      </c>
      <c r="AI162" s="609" t="e">
        <f>D162*'Don gia XCSDL DC'!#REF!</f>
        <v>#REF!</v>
      </c>
      <c r="AJ162" s="609">
        <f>S162*2*'Don gia XCSDL DC'!$K$24</f>
        <v>908140843.54574466</v>
      </c>
      <c r="AK162" s="609" t="e">
        <f>S162*3*'Don gia XCSDL DC'!#REF!</f>
        <v>#REF!</v>
      </c>
      <c r="AL162" s="609" t="e">
        <f>(S162*2+S162*3)*('Don gia XCSDL DC'!#REF!+'Don gia XCSDL DC'!#REF!+'Don gia XCSDL DC'!#REF!)</f>
        <v>#REF!</v>
      </c>
      <c r="AM162" s="609" t="e">
        <f>O162*'Don gia XCSDL DC'!#REF!*50%</f>
        <v>#REF!</v>
      </c>
      <c r="AN162" s="609" t="e">
        <f>T162*'Don gia XCSDL DC'!#REF!*$AN$8</f>
        <v>#REF!</v>
      </c>
      <c r="AO162" s="609" t="e">
        <f>U162*'Don gia XCSDL DC'!#REF!*1</f>
        <v>#REF!</v>
      </c>
      <c r="AP162" s="609" t="e">
        <f>P162*X162*'Don gia XCSDL DC'!#REF!</f>
        <v>#REF!</v>
      </c>
      <c r="AQ162" s="609" t="e">
        <f>Q162*$AQ$8*'Don gia XCSDL DC'!#REF!</f>
        <v>#REF!</v>
      </c>
      <c r="AR162" s="609" t="e">
        <f>M162*$AR$8*'Don gia XCSDL DC'!#REF!</f>
        <v>#REF!</v>
      </c>
      <c r="AS162" s="609" t="e">
        <f>J162*'Don gia XCSDL DC'!#REF!</f>
        <v>#REF!</v>
      </c>
      <c r="AT162" s="609">
        <f>D162*'Don gia XCSDL DC'!$K$26</f>
        <v>0</v>
      </c>
      <c r="AU162" s="609">
        <f>J162*'Don gia XCSDL DC'!$K$34</f>
        <v>0</v>
      </c>
      <c r="AV162" s="609">
        <f>O162*'Don gia XCSDL DC'!$K$37</f>
        <v>0</v>
      </c>
      <c r="AW162" s="610" t="e">
        <f t="shared" si="80"/>
        <v>#REF!</v>
      </c>
      <c r="AX162" s="611" t="e">
        <f t="shared" si="81"/>
        <v>#REF!</v>
      </c>
      <c r="AY162" s="806" t="e">
        <f t="shared" si="78"/>
        <v>#REF!</v>
      </c>
      <c r="AZ162" s="612" t="e">
        <f>D162*'Don gia XCSDL DC'!#REF!</f>
        <v>#REF!</v>
      </c>
      <c r="BA162" s="613" t="e">
        <f>(Q162+M162)*'Don gia XCSDL DC'!#REF!</f>
        <v>#REF!</v>
      </c>
    </row>
    <row r="163" spans="1:53" ht="24.75" customHeight="1">
      <c r="A163" s="660"/>
      <c r="B163" s="445">
        <v>8</v>
      </c>
      <c r="C163" s="445" t="s">
        <v>423</v>
      </c>
      <c r="D163" s="600">
        <v>23</v>
      </c>
      <c r="E163" s="601">
        <v>23</v>
      </c>
      <c r="F163" s="601">
        <v>1</v>
      </c>
      <c r="G163" s="602">
        <v>1</v>
      </c>
      <c r="H163" s="661"/>
      <c r="I163" s="661"/>
      <c r="J163" s="662">
        <f>380759</f>
        <v>380759</v>
      </c>
      <c r="K163" s="604">
        <v>228455</v>
      </c>
      <c r="L163" s="608">
        <v>205469.2</v>
      </c>
      <c r="M163" s="605">
        <f>J163*30%</f>
        <v>114227.7</v>
      </c>
      <c r="N163" s="604">
        <f t="shared" si="85"/>
        <v>266531.3</v>
      </c>
      <c r="O163" s="663">
        <v>130252</v>
      </c>
      <c r="P163" s="604">
        <f t="shared" si="86"/>
        <v>96088.8</v>
      </c>
      <c r="Q163" s="604">
        <f t="shared" si="87"/>
        <v>136279.29999999999</v>
      </c>
      <c r="R163" s="604"/>
      <c r="S163" s="664">
        <v>65110</v>
      </c>
      <c r="T163" s="604">
        <f t="shared" si="90"/>
        <v>1302.2</v>
      </c>
      <c r="U163" s="665">
        <v>32861</v>
      </c>
      <c r="V163" s="604">
        <f t="shared" si="88"/>
        <v>30946.800000000003</v>
      </c>
      <c r="W163" s="604"/>
      <c r="X163" s="607">
        <f t="shared" si="71"/>
        <v>0.45470412694344697</v>
      </c>
      <c r="Y163" s="608">
        <f t="shared" si="89"/>
        <v>781320</v>
      </c>
      <c r="AA163" s="609">
        <f>D163*'Don gia XCSDL DC'!$K$8</f>
        <v>10608.981719655154</v>
      </c>
      <c r="AB163" s="609">
        <f>D163*'Don gia XCSDL DC'!$K$9</f>
        <v>10122.262044655155</v>
      </c>
      <c r="AC163" s="609" t="e">
        <f>D163*'Don gia XCSDL DC'!#REF!</f>
        <v>#REF!</v>
      </c>
      <c r="AD163" s="609">
        <f>D163*'Don gia XCSDL DC'!$K$10</f>
        <v>40759.582338233136</v>
      </c>
      <c r="AE163" s="609">
        <f>J163*'Don gia XCSDL DC'!$K$11</f>
        <v>0</v>
      </c>
      <c r="AF163" s="609" t="e">
        <f>S163*'Don gia XCSDL DC'!#REF!</f>
        <v>#REF!</v>
      </c>
      <c r="AG163" s="609" t="e">
        <f>D163*'Don gia XCSDL DC'!#REF!</f>
        <v>#REF!</v>
      </c>
      <c r="AH163" s="609" t="e">
        <f>J163*'Don gia XCSDL DC'!#REF!</f>
        <v>#REF!</v>
      </c>
      <c r="AI163" s="609" t="e">
        <f>D163*'Don gia XCSDL DC'!#REF!</f>
        <v>#REF!</v>
      </c>
      <c r="AJ163" s="609">
        <f>S163*2*'Don gia XCSDL DC'!$K$24</f>
        <v>1113457561.0738068</v>
      </c>
      <c r="AK163" s="609" t="e">
        <f>S163*3*'Don gia XCSDL DC'!#REF!</f>
        <v>#REF!</v>
      </c>
      <c r="AL163" s="609" t="e">
        <f>(S163*2+S163*3)*('Don gia XCSDL DC'!#REF!+'Don gia XCSDL DC'!#REF!+'Don gia XCSDL DC'!#REF!)</f>
        <v>#REF!</v>
      </c>
      <c r="AM163" s="609" t="e">
        <f>O163*'Don gia XCSDL DC'!#REF!*50%</f>
        <v>#REF!</v>
      </c>
      <c r="AN163" s="609" t="e">
        <f>T163*'Don gia XCSDL DC'!#REF!*$AN$8</f>
        <v>#REF!</v>
      </c>
      <c r="AO163" s="609" t="e">
        <f>U163*'Don gia XCSDL DC'!#REF!*1</f>
        <v>#REF!</v>
      </c>
      <c r="AP163" s="609" t="e">
        <f>P163*X163*'Don gia XCSDL DC'!#REF!</f>
        <v>#REF!</v>
      </c>
      <c r="AQ163" s="609" t="e">
        <f>Q163*$AQ$8*'Don gia XCSDL DC'!#REF!</f>
        <v>#REF!</v>
      </c>
      <c r="AR163" s="609" t="e">
        <f>M163*$AR$8*'Don gia XCSDL DC'!#REF!</f>
        <v>#REF!</v>
      </c>
      <c r="AS163" s="609" t="e">
        <f>J163*'Don gia XCSDL DC'!#REF!</f>
        <v>#REF!</v>
      </c>
      <c r="AT163" s="609">
        <f>D163*'Don gia XCSDL DC'!$K$26</f>
        <v>0</v>
      </c>
      <c r="AU163" s="609">
        <f>J163*'Don gia XCSDL DC'!$K$34</f>
        <v>0</v>
      </c>
      <c r="AV163" s="609">
        <f>O163*'Don gia XCSDL DC'!$K$37</f>
        <v>0</v>
      </c>
      <c r="AW163" s="610" t="e">
        <f t="shared" si="80"/>
        <v>#REF!</v>
      </c>
      <c r="AX163" s="611" t="e">
        <f t="shared" si="81"/>
        <v>#REF!</v>
      </c>
      <c r="AY163" s="806" t="e">
        <f t="shared" si="78"/>
        <v>#REF!</v>
      </c>
      <c r="AZ163" s="612" t="e">
        <f>D163*'Don gia XCSDL DC'!#REF!</f>
        <v>#REF!</v>
      </c>
      <c r="BA163" s="613" t="e">
        <f>(Q163+M163)*'Don gia XCSDL DC'!#REF!</f>
        <v>#REF!</v>
      </c>
    </row>
    <row r="164" spans="1:53" ht="24.75" customHeight="1">
      <c r="A164" s="660"/>
      <c r="B164" s="445">
        <v>9</v>
      </c>
      <c r="C164" s="445" t="s">
        <v>424</v>
      </c>
      <c r="D164" s="600">
        <v>13</v>
      </c>
      <c r="E164" s="601">
        <v>13</v>
      </c>
      <c r="F164" s="601">
        <v>1</v>
      </c>
      <c r="G164" s="602">
        <v>1</v>
      </c>
      <c r="H164" s="661"/>
      <c r="I164" s="661"/>
      <c r="J164" s="662">
        <f>138753</f>
        <v>138753</v>
      </c>
      <c r="K164" s="604"/>
      <c r="L164" s="608">
        <v>118028.1</v>
      </c>
      <c r="M164" s="605">
        <f>J164*20%</f>
        <v>27750.600000000002</v>
      </c>
      <c r="N164" s="604">
        <f t="shared" si="85"/>
        <v>111002.4</v>
      </c>
      <c r="O164" s="663">
        <v>109115</v>
      </c>
      <c r="P164" s="604">
        <f t="shared" si="86"/>
        <v>88740.02</v>
      </c>
      <c r="Q164" s="604">
        <f t="shared" si="87"/>
        <v>1887.3999999999942</v>
      </c>
      <c r="R164" s="604"/>
      <c r="S164" s="664">
        <v>36299</v>
      </c>
      <c r="T164" s="604">
        <f t="shared" si="90"/>
        <v>725.98</v>
      </c>
      <c r="U164" s="665">
        <v>19649</v>
      </c>
      <c r="V164" s="604">
        <f t="shared" si="88"/>
        <v>15924.019999999997</v>
      </c>
      <c r="W164" s="604"/>
      <c r="X164" s="607">
        <f t="shared" si="71"/>
        <v>0.33998897786649324</v>
      </c>
      <c r="Y164" s="608">
        <f t="shared" si="89"/>
        <v>435588</v>
      </c>
      <c r="AA164" s="609">
        <f>D164*'Don gia XCSDL DC'!$K$8</f>
        <v>5996.3809719789997</v>
      </c>
      <c r="AB164" s="609">
        <f>D164*'Don gia XCSDL DC'!$K$9</f>
        <v>5721.2785469790006</v>
      </c>
      <c r="AC164" s="609" t="e">
        <f>D164*'Don gia XCSDL DC'!#REF!</f>
        <v>#REF!</v>
      </c>
      <c r="AD164" s="609">
        <f>D164*'Don gia XCSDL DC'!$K$10</f>
        <v>23038.024799870902</v>
      </c>
      <c r="AE164" s="609">
        <f>J164*'Don gia XCSDL DC'!$K$11</f>
        <v>0</v>
      </c>
      <c r="AF164" s="609" t="e">
        <f>S164*'Don gia XCSDL DC'!#REF!</f>
        <v>#REF!</v>
      </c>
      <c r="AG164" s="609" t="e">
        <f>D164*'Don gia XCSDL DC'!#REF!</f>
        <v>#REF!</v>
      </c>
      <c r="AH164" s="609" t="e">
        <f>J164*'Don gia XCSDL DC'!#REF!</f>
        <v>#REF!</v>
      </c>
      <c r="AI164" s="609" t="e">
        <f>D164*'Don gia XCSDL DC'!#REF!</f>
        <v>#REF!</v>
      </c>
      <c r="AJ164" s="609">
        <f>S164*2*'Don gia XCSDL DC'!$K$24</f>
        <v>620755583.00442505</v>
      </c>
      <c r="AK164" s="609" t="e">
        <f>S164*3*'Don gia XCSDL DC'!#REF!</f>
        <v>#REF!</v>
      </c>
      <c r="AL164" s="609" t="e">
        <f>(S164*2+S164*3)*('Don gia XCSDL DC'!#REF!+'Don gia XCSDL DC'!#REF!+'Don gia XCSDL DC'!#REF!)</f>
        <v>#REF!</v>
      </c>
      <c r="AM164" s="609" t="e">
        <f>O164*'Don gia XCSDL DC'!#REF!*50%</f>
        <v>#REF!</v>
      </c>
      <c r="AN164" s="609" t="e">
        <f>T164*'Don gia XCSDL DC'!#REF!*$AN$8</f>
        <v>#REF!</v>
      </c>
      <c r="AO164" s="609" t="e">
        <f>U164*'Don gia XCSDL DC'!#REF!*1</f>
        <v>#REF!</v>
      </c>
      <c r="AP164" s="609" t="e">
        <f>P164*X164*'Don gia XCSDL DC'!#REF!</f>
        <v>#REF!</v>
      </c>
      <c r="AQ164" s="609" t="e">
        <f>Q164*$AQ$8*'Don gia XCSDL DC'!#REF!</f>
        <v>#REF!</v>
      </c>
      <c r="AR164" s="609" t="e">
        <f>M164*$AR$8*'Don gia XCSDL DC'!#REF!</f>
        <v>#REF!</v>
      </c>
      <c r="AS164" s="609" t="e">
        <f>J164*'Don gia XCSDL DC'!#REF!</f>
        <v>#REF!</v>
      </c>
      <c r="AT164" s="609">
        <f>D164*'Don gia XCSDL DC'!$K$26</f>
        <v>0</v>
      </c>
      <c r="AU164" s="609">
        <f>J164*'Don gia XCSDL DC'!$K$34</f>
        <v>0</v>
      </c>
      <c r="AV164" s="609">
        <f>O164*'Don gia XCSDL DC'!$K$37</f>
        <v>0</v>
      </c>
      <c r="AW164" s="610" t="e">
        <f t="shared" si="80"/>
        <v>#REF!</v>
      </c>
      <c r="AX164" s="611" t="e">
        <f t="shared" si="81"/>
        <v>#REF!</v>
      </c>
      <c r="AY164" s="806" t="e">
        <f t="shared" si="78"/>
        <v>#REF!</v>
      </c>
      <c r="AZ164" s="612" t="e">
        <f>D164*'Don gia XCSDL DC'!#REF!</f>
        <v>#REF!</v>
      </c>
      <c r="BA164" s="613" t="e">
        <f>(Q164+M164)*'Don gia XCSDL DC'!#REF!</f>
        <v>#REF!</v>
      </c>
    </row>
    <row r="165" spans="1:53" ht="24.75" customHeight="1">
      <c r="A165" s="660"/>
      <c r="B165" s="445">
        <v>10</v>
      </c>
      <c r="C165" s="445" t="s">
        <v>425</v>
      </c>
      <c r="D165" s="600">
        <v>32</v>
      </c>
      <c r="E165" s="601">
        <v>32</v>
      </c>
      <c r="F165" s="601">
        <v>1</v>
      </c>
      <c r="G165" s="602">
        <v>1</v>
      </c>
      <c r="H165" s="661"/>
      <c r="I165" s="661"/>
      <c r="J165" s="662">
        <f>383948</f>
        <v>383948</v>
      </c>
      <c r="K165" s="604">
        <v>230369</v>
      </c>
      <c r="L165" s="608">
        <v>200000</v>
      </c>
      <c r="M165" s="605">
        <f>J165*30%</f>
        <v>115184.4</v>
      </c>
      <c r="N165" s="604">
        <f t="shared" si="85"/>
        <v>268763.59999999998</v>
      </c>
      <c r="O165" s="663">
        <v>168699</v>
      </c>
      <c r="P165" s="604">
        <f t="shared" si="86"/>
        <v>137276</v>
      </c>
      <c r="Q165" s="604">
        <f t="shared" si="87"/>
        <v>100064.59999999998</v>
      </c>
      <c r="R165" s="604"/>
      <c r="S165" s="664">
        <v>67250</v>
      </c>
      <c r="T165" s="604">
        <f t="shared" si="90"/>
        <v>1345</v>
      </c>
      <c r="U165" s="665">
        <v>30078</v>
      </c>
      <c r="V165" s="604">
        <f t="shared" si="88"/>
        <v>35827</v>
      </c>
      <c r="W165" s="604"/>
      <c r="X165" s="607">
        <f t="shared" si="71"/>
        <v>0.40557502688965552</v>
      </c>
      <c r="Y165" s="608">
        <f t="shared" si="89"/>
        <v>807000</v>
      </c>
      <c r="AA165" s="609">
        <f>D165*'Don gia XCSDL DC'!$K$8</f>
        <v>14760.322392563692</v>
      </c>
      <c r="AB165" s="609">
        <f>D165*'Don gia XCSDL DC'!$K$9</f>
        <v>14083.147192563694</v>
      </c>
      <c r="AC165" s="609" t="e">
        <f>D165*'Don gia XCSDL DC'!#REF!</f>
        <v>#REF!</v>
      </c>
      <c r="AD165" s="609">
        <f>D165*'Don gia XCSDL DC'!$K$10</f>
        <v>56708.984122759146</v>
      </c>
      <c r="AE165" s="609">
        <f>J165*'Don gia XCSDL DC'!$K$11</f>
        <v>0</v>
      </c>
      <c r="AF165" s="609" t="e">
        <f>S165*'Don gia XCSDL DC'!#REF!</f>
        <v>#REF!</v>
      </c>
      <c r="AG165" s="609" t="e">
        <f>D165*'Don gia XCSDL DC'!#REF!</f>
        <v>#REF!</v>
      </c>
      <c r="AH165" s="609" t="e">
        <f>J165*'Don gia XCSDL DC'!#REF!</f>
        <v>#REF!</v>
      </c>
      <c r="AI165" s="609" t="e">
        <f>D165*'Don gia XCSDL DC'!#REF!</f>
        <v>#REF!</v>
      </c>
      <c r="AJ165" s="609">
        <f>S165*2*'Don gia XCSDL DC'!$K$24</f>
        <v>1150054077.4414606</v>
      </c>
      <c r="AK165" s="609" t="e">
        <f>S165*3*'Don gia XCSDL DC'!#REF!</f>
        <v>#REF!</v>
      </c>
      <c r="AL165" s="609" t="e">
        <f>(S165*2+S165*3)*('Don gia XCSDL DC'!#REF!+'Don gia XCSDL DC'!#REF!+'Don gia XCSDL DC'!#REF!)</f>
        <v>#REF!</v>
      </c>
      <c r="AM165" s="609" t="e">
        <f>O165*'Don gia XCSDL DC'!#REF!*50%</f>
        <v>#REF!</v>
      </c>
      <c r="AN165" s="609" t="e">
        <f>T165*'Don gia XCSDL DC'!#REF!*$AN$8</f>
        <v>#REF!</v>
      </c>
      <c r="AO165" s="609" t="e">
        <f>U165*'Don gia XCSDL DC'!#REF!*1</f>
        <v>#REF!</v>
      </c>
      <c r="AP165" s="609" t="e">
        <f>P165*X165*'Don gia XCSDL DC'!#REF!</f>
        <v>#REF!</v>
      </c>
      <c r="AQ165" s="609" t="e">
        <f>Q165*$AQ$8*'Don gia XCSDL DC'!#REF!</f>
        <v>#REF!</v>
      </c>
      <c r="AR165" s="609" t="e">
        <f>M165*$AR$8*'Don gia XCSDL DC'!#REF!</f>
        <v>#REF!</v>
      </c>
      <c r="AS165" s="609" t="e">
        <f>J165*'Don gia XCSDL DC'!#REF!</f>
        <v>#REF!</v>
      </c>
      <c r="AT165" s="609">
        <f>D165*'Don gia XCSDL DC'!$K$26</f>
        <v>0</v>
      </c>
      <c r="AU165" s="609">
        <f>J165*'Don gia XCSDL DC'!$K$34</f>
        <v>0</v>
      </c>
      <c r="AV165" s="609">
        <f>O165*'Don gia XCSDL DC'!$K$37</f>
        <v>0</v>
      </c>
      <c r="AW165" s="610" t="e">
        <f t="shared" si="80"/>
        <v>#REF!</v>
      </c>
      <c r="AX165" s="611" t="e">
        <f t="shared" si="81"/>
        <v>#REF!</v>
      </c>
      <c r="AY165" s="806" t="e">
        <f t="shared" si="78"/>
        <v>#REF!</v>
      </c>
      <c r="AZ165" s="612" t="e">
        <f>D165*'Don gia XCSDL DC'!#REF!</f>
        <v>#REF!</v>
      </c>
      <c r="BA165" s="613" t="e">
        <f>(Q165+M165)*'Don gia XCSDL DC'!#REF!</f>
        <v>#REF!</v>
      </c>
    </row>
    <row r="166" spans="1:53" ht="24.75" customHeight="1">
      <c r="A166" s="660"/>
      <c r="B166" s="445">
        <v>11</v>
      </c>
      <c r="C166" s="445" t="s">
        <v>426</v>
      </c>
      <c r="D166" s="600">
        <v>12</v>
      </c>
      <c r="E166" s="601">
        <v>12</v>
      </c>
      <c r="F166" s="601">
        <v>1</v>
      </c>
      <c r="G166" s="602">
        <v>1</v>
      </c>
      <c r="H166" s="661"/>
      <c r="I166" s="661"/>
      <c r="J166" s="662">
        <f>93709</f>
        <v>93709</v>
      </c>
      <c r="K166" s="604"/>
      <c r="L166" s="608">
        <v>60209.1</v>
      </c>
      <c r="M166" s="605">
        <f>J166*20%</f>
        <v>18741.8</v>
      </c>
      <c r="N166" s="604">
        <f t="shared" si="85"/>
        <v>74967.199999999997</v>
      </c>
      <c r="O166" s="663">
        <v>45493</v>
      </c>
      <c r="P166" s="604">
        <f t="shared" si="86"/>
        <v>35484.76</v>
      </c>
      <c r="Q166" s="604">
        <f t="shared" si="87"/>
        <v>29474.199999999997</v>
      </c>
      <c r="R166" s="604"/>
      <c r="S166" s="664">
        <v>21312</v>
      </c>
      <c r="T166" s="604">
        <f t="shared" si="90"/>
        <v>426.24</v>
      </c>
      <c r="U166" s="665">
        <v>9582</v>
      </c>
      <c r="V166" s="604">
        <f t="shared" si="88"/>
        <v>11303.759999999998</v>
      </c>
      <c r="W166" s="604"/>
      <c r="X166" s="607">
        <f t="shared" si="71"/>
        <v>0.45187920722561747</v>
      </c>
      <c r="Y166" s="608">
        <f t="shared" si="89"/>
        <v>255744</v>
      </c>
      <c r="AA166" s="609">
        <f>D166*'Don gia XCSDL DC'!$K$8</f>
        <v>5535.1208972113845</v>
      </c>
      <c r="AB166" s="609">
        <f>D166*'Don gia XCSDL DC'!$K$9</f>
        <v>5281.1801972113853</v>
      </c>
      <c r="AC166" s="609" t="e">
        <f>D166*'Don gia XCSDL DC'!#REF!</f>
        <v>#REF!</v>
      </c>
      <c r="AD166" s="609">
        <f>D166*'Don gia XCSDL DC'!$K$10</f>
        <v>21265.869046034681</v>
      </c>
      <c r="AE166" s="609">
        <f>J166*'Don gia XCSDL DC'!$K$11</f>
        <v>0</v>
      </c>
      <c r="AF166" s="609" t="e">
        <f>S166*'Don gia XCSDL DC'!#REF!</f>
        <v>#REF!</v>
      </c>
      <c r="AG166" s="609" t="e">
        <f>D166*'Don gia XCSDL DC'!#REF!</f>
        <v>#REF!</v>
      </c>
      <c r="AH166" s="609" t="e">
        <f>J166*'Don gia XCSDL DC'!#REF!</f>
        <v>#REF!</v>
      </c>
      <c r="AI166" s="609" t="e">
        <f>D166*'Don gia XCSDL DC'!#REF!</f>
        <v>#REF!</v>
      </c>
      <c r="AJ166" s="609">
        <f>S166*2*'Don gia XCSDL DC'!$K$24</f>
        <v>364460260.19973844</v>
      </c>
      <c r="AK166" s="609" t="e">
        <f>S166*3*'Don gia XCSDL DC'!#REF!</f>
        <v>#REF!</v>
      </c>
      <c r="AL166" s="609" t="e">
        <f>(S166*2+S166*3)*('Don gia XCSDL DC'!#REF!+'Don gia XCSDL DC'!#REF!+'Don gia XCSDL DC'!#REF!)</f>
        <v>#REF!</v>
      </c>
      <c r="AM166" s="609" t="e">
        <f>O166*'Don gia XCSDL DC'!#REF!*50%</f>
        <v>#REF!</v>
      </c>
      <c r="AN166" s="609" t="e">
        <f>T166*'Don gia XCSDL DC'!#REF!*$AN$8</f>
        <v>#REF!</v>
      </c>
      <c r="AO166" s="609" t="e">
        <f>U166*'Don gia XCSDL DC'!#REF!*1</f>
        <v>#REF!</v>
      </c>
      <c r="AP166" s="609" t="e">
        <f>P166*X166*'Don gia XCSDL DC'!#REF!</f>
        <v>#REF!</v>
      </c>
      <c r="AQ166" s="609" t="e">
        <f>Q166*$AQ$8*'Don gia XCSDL DC'!#REF!</f>
        <v>#REF!</v>
      </c>
      <c r="AR166" s="609" t="e">
        <f>M166*$AR$8*'Don gia XCSDL DC'!#REF!</f>
        <v>#REF!</v>
      </c>
      <c r="AS166" s="609" t="e">
        <f>J166*'Don gia XCSDL DC'!#REF!</f>
        <v>#REF!</v>
      </c>
      <c r="AT166" s="609">
        <f>D166*'Don gia XCSDL DC'!$K$26</f>
        <v>0</v>
      </c>
      <c r="AU166" s="609">
        <f>J166*'Don gia XCSDL DC'!$K$34</f>
        <v>0</v>
      </c>
      <c r="AV166" s="609">
        <f>O166*'Don gia XCSDL DC'!$K$37</f>
        <v>0</v>
      </c>
      <c r="AW166" s="610" t="e">
        <f t="shared" si="80"/>
        <v>#REF!</v>
      </c>
      <c r="AX166" s="611" t="e">
        <f t="shared" si="81"/>
        <v>#REF!</v>
      </c>
      <c r="AY166" s="806" t="e">
        <f t="shared" si="78"/>
        <v>#REF!</v>
      </c>
      <c r="AZ166" s="612" t="e">
        <f>D166*'Don gia XCSDL DC'!#REF!</f>
        <v>#REF!</v>
      </c>
      <c r="BA166" s="613" t="e">
        <f>(Q166+M166)*'Don gia XCSDL DC'!#REF!</f>
        <v>#REF!</v>
      </c>
    </row>
    <row r="167" spans="1:53" ht="24.75" customHeight="1">
      <c r="A167" s="666"/>
      <c r="B167" s="445">
        <v>12</v>
      </c>
      <c r="C167" s="445" t="s">
        <v>427</v>
      </c>
      <c r="D167" s="600">
        <v>22</v>
      </c>
      <c r="E167" s="601">
        <v>22</v>
      </c>
      <c r="F167" s="601">
        <v>1</v>
      </c>
      <c r="G167" s="602">
        <v>1</v>
      </c>
      <c r="H167" s="661"/>
      <c r="I167" s="661"/>
      <c r="J167" s="662">
        <f>246217</f>
        <v>246217</v>
      </c>
      <c r="K167" s="604"/>
      <c r="L167" s="608">
        <v>171098.6</v>
      </c>
      <c r="M167" s="605">
        <f>J167*20%</f>
        <v>49243.4</v>
      </c>
      <c r="N167" s="604">
        <f t="shared" si="85"/>
        <v>196973.6</v>
      </c>
      <c r="O167" s="663">
        <v>138384</v>
      </c>
      <c r="P167" s="604">
        <f t="shared" si="86"/>
        <v>120223.14000000001</v>
      </c>
      <c r="Q167" s="604">
        <f t="shared" si="87"/>
        <v>58589.600000000006</v>
      </c>
      <c r="R167" s="604"/>
      <c r="S167" s="664">
        <v>42743</v>
      </c>
      <c r="T167" s="604">
        <f t="shared" si="90"/>
        <v>854.86</v>
      </c>
      <c r="U167" s="665">
        <v>17306</v>
      </c>
      <c r="V167" s="604">
        <f t="shared" si="88"/>
        <v>24582.14</v>
      </c>
      <c r="W167" s="604"/>
      <c r="X167" s="607">
        <f t="shared" si="71"/>
        <v>0.36011794039997119</v>
      </c>
      <c r="Y167" s="608">
        <f t="shared" si="89"/>
        <v>512916</v>
      </c>
      <c r="AA167" s="609">
        <f>D167*'Don gia XCSDL DC'!$K$8</f>
        <v>10147.721644887539</v>
      </c>
      <c r="AB167" s="609">
        <f>D167*'Don gia XCSDL DC'!$K$9</f>
        <v>9682.1636948875403</v>
      </c>
      <c r="AC167" s="609" t="e">
        <f>D167*'Don gia XCSDL DC'!#REF!</f>
        <v>#REF!</v>
      </c>
      <c r="AD167" s="609">
        <f>D167*'Don gia XCSDL DC'!$K$10</f>
        <v>38987.426584396911</v>
      </c>
      <c r="AE167" s="609">
        <f>J167*'Don gia XCSDL DC'!$K$11</f>
        <v>0</v>
      </c>
      <c r="AF167" s="609" t="e">
        <f>S167*'Don gia XCSDL DC'!#REF!</f>
        <v>#REF!</v>
      </c>
      <c r="AG167" s="609" t="e">
        <f>D167*'Don gia XCSDL DC'!#REF!</f>
        <v>#REF!</v>
      </c>
      <c r="AH167" s="609" t="e">
        <f>J167*'Don gia XCSDL DC'!#REF!</f>
        <v>#REF!</v>
      </c>
      <c r="AI167" s="609" t="e">
        <f>D167*'Don gia XCSDL DC'!#REF!</f>
        <v>#REF!</v>
      </c>
      <c r="AJ167" s="609">
        <f>S167*2*'Don gia XCSDL DC'!$K$24</f>
        <v>730955560.32833242</v>
      </c>
      <c r="AK167" s="609" t="e">
        <f>S167*3*'Don gia XCSDL DC'!#REF!</f>
        <v>#REF!</v>
      </c>
      <c r="AL167" s="609" t="e">
        <f>(S167*2+S167*3)*('Don gia XCSDL DC'!#REF!+'Don gia XCSDL DC'!#REF!+'Don gia XCSDL DC'!#REF!)</f>
        <v>#REF!</v>
      </c>
      <c r="AM167" s="609" t="e">
        <f>O167*'Don gia XCSDL DC'!#REF!*50%</f>
        <v>#REF!</v>
      </c>
      <c r="AN167" s="609" t="e">
        <f>T167*'Don gia XCSDL DC'!#REF!*$AN$8</f>
        <v>#REF!</v>
      </c>
      <c r="AO167" s="609" t="e">
        <f>U167*'Don gia XCSDL DC'!#REF!*1</f>
        <v>#REF!</v>
      </c>
      <c r="AP167" s="609" t="e">
        <f>P167*X167*'Don gia XCSDL DC'!#REF!</f>
        <v>#REF!</v>
      </c>
      <c r="AQ167" s="609" t="e">
        <f>Q167*$AQ$8*'Don gia XCSDL DC'!#REF!</f>
        <v>#REF!</v>
      </c>
      <c r="AR167" s="609" t="e">
        <f>M167*$AR$8*'Don gia XCSDL DC'!#REF!</f>
        <v>#REF!</v>
      </c>
      <c r="AS167" s="609" t="e">
        <f>J167*'Don gia XCSDL DC'!#REF!</f>
        <v>#REF!</v>
      </c>
      <c r="AT167" s="609">
        <f>D167*'Don gia XCSDL DC'!$K$26</f>
        <v>0</v>
      </c>
      <c r="AU167" s="609">
        <f>J167*'Don gia XCSDL DC'!$K$34</f>
        <v>0</v>
      </c>
      <c r="AV167" s="609">
        <f>O167*'Don gia XCSDL DC'!$K$37</f>
        <v>0</v>
      </c>
      <c r="AW167" s="610" t="e">
        <f t="shared" si="80"/>
        <v>#REF!</v>
      </c>
      <c r="AX167" s="611" t="e">
        <f t="shared" si="81"/>
        <v>#REF!</v>
      </c>
      <c r="AY167" s="806" t="e">
        <f t="shared" si="78"/>
        <v>#REF!</v>
      </c>
      <c r="AZ167" s="612" t="e">
        <f>D167*'Don gia XCSDL DC'!#REF!</f>
        <v>#REF!</v>
      </c>
      <c r="BA167" s="613" t="e">
        <f>(Q167+M167)*'Don gia XCSDL DC'!#REF!</f>
        <v>#REF!</v>
      </c>
    </row>
    <row r="168" spans="1:53" s="723" customFormat="1" ht="24.75" customHeight="1">
      <c r="A168" s="770"/>
      <c r="B168" s="713"/>
      <c r="C168" s="713" t="s">
        <v>428</v>
      </c>
      <c r="D168" s="714">
        <v>27</v>
      </c>
      <c r="E168" s="715">
        <v>27</v>
      </c>
      <c r="F168" s="715"/>
      <c r="G168" s="715">
        <v>1</v>
      </c>
      <c r="H168" s="715"/>
      <c r="I168" s="715"/>
      <c r="J168" s="771">
        <v>323083</v>
      </c>
      <c r="K168" s="716"/>
      <c r="L168" s="772">
        <v>231325</v>
      </c>
      <c r="M168" s="719"/>
      <c r="N168" s="718"/>
      <c r="O168" s="718"/>
      <c r="P168" s="718"/>
      <c r="Q168" s="718"/>
      <c r="R168" s="718"/>
      <c r="S168" s="718"/>
      <c r="T168" s="718"/>
      <c r="U168" s="773"/>
      <c r="V168" s="718"/>
      <c r="W168" s="718"/>
      <c r="X168" s="721"/>
      <c r="Y168" s="722"/>
      <c r="AA168" s="609"/>
      <c r="AB168" s="609"/>
      <c r="AC168" s="609"/>
      <c r="AD168" s="724"/>
      <c r="AE168" s="724"/>
      <c r="AF168" s="724"/>
      <c r="AG168" s="724"/>
      <c r="AH168" s="724"/>
      <c r="AI168" s="724"/>
      <c r="AJ168" s="724"/>
      <c r="AK168" s="724"/>
      <c r="AL168" s="724"/>
      <c r="AM168" s="724"/>
      <c r="AN168" s="724"/>
      <c r="AO168" s="724"/>
      <c r="AP168" s="724"/>
      <c r="AQ168" s="724"/>
      <c r="AR168" s="724"/>
      <c r="AS168" s="724"/>
      <c r="AT168" s="724"/>
      <c r="AU168" s="724"/>
      <c r="AV168" s="609"/>
      <c r="AW168" s="610"/>
      <c r="AX168" s="611"/>
      <c r="AY168" s="807"/>
      <c r="AZ168" s="612"/>
      <c r="BA168" s="613"/>
    </row>
    <row r="169" spans="1:53" s="598" customFormat="1" ht="24.75" customHeight="1">
      <c r="A169" s="589">
        <v>3</v>
      </c>
      <c r="B169" s="1945" t="s">
        <v>429</v>
      </c>
      <c r="C169" s="1945"/>
      <c r="D169" s="594"/>
      <c r="E169" s="595">
        <f>SUM(E170:E173)</f>
        <v>79</v>
      </c>
      <c r="F169" s="595">
        <f>SUM(F170:F173)</f>
        <v>4</v>
      </c>
      <c r="G169" s="596">
        <f>SUM(G170:G177)</f>
        <v>8</v>
      </c>
      <c r="H169" s="595">
        <v>8</v>
      </c>
      <c r="I169" s="595"/>
      <c r="J169" s="595">
        <f t="shared" ref="J169:Q169" si="91">SUM(J170:J173)</f>
        <v>570233.25</v>
      </c>
      <c r="K169" s="595">
        <f t="shared" si="91"/>
        <v>432896</v>
      </c>
      <c r="L169" s="595">
        <f t="shared" si="91"/>
        <v>495855</v>
      </c>
      <c r="M169" s="595">
        <f t="shared" si="91"/>
        <v>33388.0075</v>
      </c>
      <c r="N169" s="595">
        <f t="shared" si="91"/>
        <v>536845.24250000005</v>
      </c>
      <c r="O169" s="595">
        <f t="shared" si="91"/>
        <v>499802.92076750007</v>
      </c>
      <c r="P169" s="595">
        <f t="shared" si="91"/>
        <v>282488.42076750007</v>
      </c>
      <c r="Q169" s="595">
        <f t="shared" si="91"/>
        <v>37042.321732499971</v>
      </c>
      <c r="R169" s="595"/>
      <c r="S169" s="595">
        <f>SUM(S170:S173)</f>
        <v>338544</v>
      </c>
      <c r="T169" s="595">
        <f>SUM(T170:T173)</f>
        <v>42571.199999999997</v>
      </c>
      <c r="U169" s="595">
        <f>SUM(U170:U173)</f>
        <v>174743.30000000002</v>
      </c>
      <c r="V169" s="595">
        <f>SUM(V170:V173)</f>
        <v>121229.5</v>
      </c>
      <c r="W169" s="597">
        <v>0.93100000000000005</v>
      </c>
      <c r="X169" s="607">
        <f t="shared" si="71"/>
        <v>0.54083688809594488</v>
      </c>
      <c r="Y169" s="595">
        <f>SUM(Y170:Y173)</f>
        <v>4062528</v>
      </c>
      <c r="AA169" s="609"/>
      <c r="AB169" s="609"/>
      <c r="AC169" s="609"/>
      <c r="AD169" s="609"/>
      <c r="AE169" s="609"/>
      <c r="AF169" s="609"/>
      <c r="AG169" s="609"/>
      <c r="AH169" s="609"/>
      <c r="AI169" s="609"/>
      <c r="AJ169" s="609"/>
      <c r="AK169" s="609"/>
      <c r="AL169" s="609"/>
      <c r="AM169" s="609"/>
      <c r="AN169" s="609"/>
      <c r="AO169" s="609"/>
      <c r="AP169" s="609"/>
      <c r="AQ169" s="609"/>
      <c r="AR169" s="609"/>
      <c r="AS169" s="609"/>
      <c r="AT169" s="609"/>
      <c r="AU169" s="609"/>
      <c r="AV169" s="609"/>
      <c r="AW169" s="610"/>
      <c r="AX169" s="611"/>
      <c r="AY169" s="806"/>
      <c r="AZ169" s="612"/>
      <c r="BA169" s="613"/>
    </row>
    <row r="170" spans="1:53" ht="24.75" customHeight="1">
      <c r="A170" s="599"/>
      <c r="B170" s="445">
        <v>1</v>
      </c>
      <c r="C170" s="445" t="s">
        <v>430</v>
      </c>
      <c r="D170" s="600">
        <v>28</v>
      </c>
      <c r="E170" s="601">
        <v>28</v>
      </c>
      <c r="F170" s="601">
        <v>1</v>
      </c>
      <c r="G170" s="602">
        <v>1</v>
      </c>
      <c r="H170" s="601"/>
      <c r="I170" s="601"/>
      <c r="J170" s="667">
        <f>138535*1.15</f>
        <v>159315.25</v>
      </c>
      <c r="K170" s="668">
        <v>138535</v>
      </c>
      <c r="L170" s="668">
        <v>138535</v>
      </c>
      <c r="M170" s="669">
        <f>J170*4%</f>
        <v>6372.6100000000006</v>
      </c>
      <c r="N170" s="668">
        <f>J170-M170</f>
        <v>152942.64000000001</v>
      </c>
      <c r="O170" s="668">
        <f>$N170*$W$169</f>
        <v>142389.59784000003</v>
      </c>
      <c r="P170" s="668">
        <f>O170-T170-U170</f>
        <v>72252.597840000031</v>
      </c>
      <c r="Q170" s="668">
        <f>N170-O170</f>
        <v>10553.042159999983</v>
      </c>
      <c r="R170" s="668"/>
      <c r="S170" s="668">
        <v>99349</v>
      </c>
      <c r="T170" s="603">
        <f>S170*0.15</f>
        <v>14902.349999999999</v>
      </c>
      <c r="U170" s="670">
        <f>140274/2-T170</f>
        <v>55234.65</v>
      </c>
      <c r="V170" s="603">
        <f>S170-T170-U170</f>
        <v>29211.999999999993</v>
      </c>
      <c r="W170" s="603"/>
      <c r="X170" s="607">
        <f t="shared" si="71"/>
        <v>0.520853058006987</v>
      </c>
      <c r="Y170" s="608">
        <f>S170*12</f>
        <v>1192188</v>
      </c>
      <c r="AA170" s="609">
        <f>D170*'Don gia XCSDL DC'!$K$8</f>
        <v>12915.282093493232</v>
      </c>
      <c r="AB170" s="609">
        <f>D170*'Don gia XCSDL DC'!$K$9</f>
        <v>12322.753793493233</v>
      </c>
      <c r="AC170" s="609" t="e">
        <f>D170*'Don gia XCSDL DC'!#REF!</f>
        <v>#REF!</v>
      </c>
      <c r="AD170" s="609">
        <f>D170*'Don gia XCSDL DC'!$K$10</f>
        <v>49620.361107414254</v>
      </c>
      <c r="AE170" s="609">
        <f>J170*'Don gia XCSDL DC'!$K$11</f>
        <v>0</v>
      </c>
      <c r="AF170" s="609" t="e">
        <f>S170*'Don gia XCSDL DC'!#REF!</f>
        <v>#REF!</v>
      </c>
      <c r="AG170" s="609" t="e">
        <f>D170*'Don gia XCSDL DC'!#REF!</f>
        <v>#REF!</v>
      </c>
      <c r="AH170" s="609" t="e">
        <f>J170*'Don gia XCSDL DC'!#REF!</f>
        <v>#REF!</v>
      </c>
      <c r="AI170" s="609" t="e">
        <f>D170*'Don gia XCSDL DC'!#REF!</f>
        <v>#REF!</v>
      </c>
      <c r="AJ170" s="609">
        <f>S170*2*'Don gia XCSDL DC'!$K$24</f>
        <v>1698984721.7803967</v>
      </c>
      <c r="AK170" s="609" t="e">
        <f>S170*3*'Don gia XCSDL DC'!#REF!</f>
        <v>#REF!</v>
      </c>
      <c r="AL170" s="609" t="e">
        <f>(S170*2+S170*3)*('Don gia XCSDL DC'!#REF!+'Don gia XCSDL DC'!#REF!+'Don gia XCSDL DC'!#REF!)</f>
        <v>#REF!</v>
      </c>
      <c r="AM170" s="609" t="e">
        <f>O170*'Don gia XCSDL DC'!#REF!*50%</f>
        <v>#REF!</v>
      </c>
      <c r="AN170" s="609" t="e">
        <f>T170*'Don gia XCSDL DC'!#REF!*$AN$8</f>
        <v>#REF!</v>
      </c>
      <c r="AO170" s="609" t="e">
        <f>U170*'Don gia XCSDL DC'!#REF!*1</f>
        <v>#REF!</v>
      </c>
      <c r="AP170" s="609" t="e">
        <f>P170*X170*'Don gia XCSDL DC'!#REF!</f>
        <v>#REF!</v>
      </c>
      <c r="AQ170" s="609" t="e">
        <f>Q170*$AQ$8*'Don gia XCSDL DC'!#REF!</f>
        <v>#REF!</v>
      </c>
      <c r="AR170" s="609" t="e">
        <f>M170*$AR$8*'Don gia XCSDL DC'!#REF!</f>
        <v>#REF!</v>
      </c>
      <c r="AS170" s="609" t="e">
        <f>J170*'Don gia XCSDL DC'!#REF!</f>
        <v>#REF!</v>
      </c>
      <c r="AT170" s="609">
        <f>D170*'Don gia XCSDL DC'!$K$26</f>
        <v>0</v>
      </c>
      <c r="AU170" s="609">
        <f>J170*'Don gia XCSDL DC'!$K$34</f>
        <v>0</v>
      </c>
      <c r="AV170" s="609">
        <f>O170*'Don gia XCSDL DC'!$K$37</f>
        <v>0</v>
      </c>
      <c r="AW170" s="610" t="e">
        <f t="shared" si="80"/>
        <v>#REF!</v>
      </c>
      <c r="AX170" s="611" t="e">
        <f t="shared" si="81"/>
        <v>#REF!</v>
      </c>
      <c r="AY170" s="806" t="e">
        <f t="shared" si="78"/>
        <v>#REF!</v>
      </c>
      <c r="AZ170" s="612" t="e">
        <f>D170*'Don gia XCSDL DC'!#REF!</f>
        <v>#REF!</v>
      </c>
      <c r="BA170" s="613" t="e">
        <f>(Q170+M170)*'Don gia XCSDL DC'!#REF!</f>
        <v>#REF!</v>
      </c>
    </row>
    <row r="171" spans="1:53" ht="24.75" customHeight="1">
      <c r="A171" s="599"/>
      <c r="B171" s="445">
        <v>2</v>
      </c>
      <c r="C171" s="445" t="s">
        <v>431</v>
      </c>
      <c r="D171" s="600">
        <v>20</v>
      </c>
      <c r="E171" s="601">
        <v>20</v>
      </c>
      <c r="F171" s="601">
        <v>1</v>
      </c>
      <c r="G171" s="602">
        <v>1</v>
      </c>
      <c r="H171" s="601"/>
      <c r="I171" s="601"/>
      <c r="J171" s="667">
        <f>115273*1.15</f>
        <v>132563.94999999998</v>
      </c>
      <c r="K171" s="668">
        <v>181848</v>
      </c>
      <c r="L171" s="668">
        <f>72182/4*6+7000</f>
        <v>115273</v>
      </c>
      <c r="M171" s="669">
        <f>J171*5%</f>
        <v>6628.1974999999993</v>
      </c>
      <c r="N171" s="668">
        <f>J171-M171</f>
        <v>125935.75249999999</v>
      </c>
      <c r="O171" s="668">
        <f>$N171*$W$169</f>
        <v>117246.1855775</v>
      </c>
      <c r="P171" s="668">
        <f>O171-T171-U171</f>
        <v>78442.1855775</v>
      </c>
      <c r="Q171" s="668">
        <f>N171-O171</f>
        <v>8689.5669224999874</v>
      </c>
      <c r="R171" s="671"/>
      <c r="S171" s="672">
        <v>73984</v>
      </c>
      <c r="T171" s="603">
        <f>S171*0.1</f>
        <v>7398.4000000000005</v>
      </c>
      <c r="U171" s="670">
        <f>77608/2-T171</f>
        <v>31405.599999999999</v>
      </c>
      <c r="V171" s="603">
        <f>S171-T171-U171</f>
        <v>35180.000000000007</v>
      </c>
      <c r="W171" s="603"/>
      <c r="X171" s="607">
        <f t="shared" si="71"/>
        <v>0.5563886362312952</v>
      </c>
      <c r="Y171" s="608">
        <f>S171*12</f>
        <v>887808</v>
      </c>
      <c r="AA171" s="609">
        <f>D171*'Don gia XCSDL DC'!$K$8</f>
        <v>9225.2014953523067</v>
      </c>
      <c r="AB171" s="609">
        <f>D171*'Don gia XCSDL DC'!$K$9</f>
        <v>8801.966995352308</v>
      </c>
      <c r="AC171" s="609" t="e">
        <f>D171*'Don gia XCSDL DC'!#REF!</f>
        <v>#REF!</v>
      </c>
      <c r="AD171" s="609">
        <f>D171*'Don gia XCSDL DC'!$K$10</f>
        <v>35443.115076724469</v>
      </c>
      <c r="AE171" s="609">
        <f>J171*'Don gia XCSDL DC'!$K$11</f>
        <v>0</v>
      </c>
      <c r="AF171" s="609" t="e">
        <f>S171*'Don gia XCSDL DC'!#REF!</f>
        <v>#REF!</v>
      </c>
      <c r="AG171" s="609" t="e">
        <f>D171*'Don gia XCSDL DC'!#REF!</f>
        <v>#REF!</v>
      </c>
      <c r="AH171" s="609" t="e">
        <f>J171*'Don gia XCSDL DC'!#REF!</f>
        <v>#REF!</v>
      </c>
      <c r="AI171" s="609" t="e">
        <f>D171*'Don gia XCSDL DC'!#REF!</f>
        <v>#REF!</v>
      </c>
      <c r="AJ171" s="609">
        <f>S171*2*'Don gia XCSDL DC'!$K$24</f>
        <v>1265213395.7684615</v>
      </c>
      <c r="AK171" s="609" t="e">
        <f>S171*3*'Don gia XCSDL DC'!#REF!</f>
        <v>#REF!</v>
      </c>
      <c r="AL171" s="609" t="e">
        <f>(S171*2+S171*3)*('Don gia XCSDL DC'!#REF!+'Don gia XCSDL DC'!#REF!+'Don gia XCSDL DC'!#REF!)</f>
        <v>#REF!</v>
      </c>
      <c r="AM171" s="609" t="e">
        <f>O171*'Don gia XCSDL DC'!#REF!*50%</f>
        <v>#REF!</v>
      </c>
      <c r="AN171" s="609" t="e">
        <f>T171*'Don gia XCSDL DC'!#REF!*$AN$8</f>
        <v>#REF!</v>
      </c>
      <c r="AO171" s="609" t="e">
        <f>U171*'Don gia XCSDL DC'!#REF!*1</f>
        <v>#REF!</v>
      </c>
      <c r="AP171" s="609" t="e">
        <f>P171*X171*'Don gia XCSDL DC'!#REF!</f>
        <v>#REF!</v>
      </c>
      <c r="AQ171" s="609" t="e">
        <f>Q171*$AQ$8*'Don gia XCSDL DC'!#REF!</f>
        <v>#REF!</v>
      </c>
      <c r="AR171" s="609" t="e">
        <f>M171*$AR$8*'Don gia XCSDL DC'!#REF!</f>
        <v>#REF!</v>
      </c>
      <c r="AS171" s="609" t="e">
        <f>J171*'Don gia XCSDL DC'!#REF!</f>
        <v>#REF!</v>
      </c>
      <c r="AT171" s="609">
        <f>D171*'Don gia XCSDL DC'!$K$26</f>
        <v>0</v>
      </c>
      <c r="AU171" s="609">
        <f>J171*'Don gia XCSDL DC'!$K$34</f>
        <v>0</v>
      </c>
      <c r="AV171" s="609">
        <f>O171*'Don gia XCSDL DC'!$K$37</f>
        <v>0</v>
      </c>
      <c r="AW171" s="610" t="e">
        <f t="shared" si="80"/>
        <v>#REF!</v>
      </c>
      <c r="AX171" s="611" t="e">
        <f t="shared" si="81"/>
        <v>#REF!</v>
      </c>
      <c r="AY171" s="806" t="e">
        <f t="shared" si="78"/>
        <v>#REF!</v>
      </c>
      <c r="AZ171" s="612" t="e">
        <f>D171*'Don gia XCSDL DC'!#REF!</f>
        <v>#REF!</v>
      </c>
      <c r="BA171" s="613" t="e">
        <f>(Q171+M171)*'Don gia XCSDL DC'!#REF!</f>
        <v>#REF!</v>
      </c>
    </row>
    <row r="172" spans="1:53" ht="24.75" customHeight="1">
      <c r="A172" s="599"/>
      <c r="B172" s="445">
        <v>3</v>
      </c>
      <c r="C172" s="445" t="s">
        <v>432</v>
      </c>
      <c r="D172" s="600">
        <v>16</v>
      </c>
      <c r="E172" s="601">
        <v>16</v>
      </c>
      <c r="F172" s="601">
        <v>1</v>
      </c>
      <c r="G172" s="602">
        <v>1</v>
      </c>
      <c r="H172" s="601"/>
      <c r="I172" s="601"/>
      <c r="J172" s="667">
        <f>112513*1.15</f>
        <v>129389.95</v>
      </c>
      <c r="K172" s="668">
        <v>112513</v>
      </c>
      <c r="L172" s="668">
        <v>112513</v>
      </c>
      <c r="M172" s="669">
        <f>J172*10%</f>
        <v>12938.995000000001</v>
      </c>
      <c r="N172" s="668">
        <f>J172-M172</f>
        <v>116450.955</v>
      </c>
      <c r="O172" s="668">
        <f>$N172*$W$169</f>
        <v>108415.83910500001</v>
      </c>
      <c r="P172" s="668">
        <f>O172-T172-U172</f>
        <v>21691.839105000006</v>
      </c>
      <c r="Q172" s="668">
        <f>N172-O172</f>
        <v>8035.1158949999954</v>
      </c>
      <c r="R172" s="671"/>
      <c r="S172" s="672">
        <v>90224</v>
      </c>
      <c r="T172" s="603">
        <f>S172*0.1</f>
        <v>9022.4</v>
      </c>
      <c r="U172" s="670">
        <f>S172-T172-V172</f>
        <v>77701.600000000006</v>
      </c>
      <c r="V172" s="603">
        <v>3500</v>
      </c>
      <c r="W172" s="603"/>
      <c r="X172" s="607">
        <f t="shared" si="71"/>
        <v>0.32543450254258949</v>
      </c>
      <c r="Y172" s="608">
        <f>S172*12</f>
        <v>1082688</v>
      </c>
      <c r="AA172" s="609">
        <f>D172*'Don gia XCSDL DC'!$K$8</f>
        <v>7380.1611962818461</v>
      </c>
      <c r="AB172" s="609">
        <f>D172*'Don gia XCSDL DC'!$K$9</f>
        <v>7041.5735962818471</v>
      </c>
      <c r="AC172" s="609" t="e">
        <f>D172*'Don gia XCSDL DC'!#REF!</f>
        <v>#REF!</v>
      </c>
      <c r="AD172" s="609">
        <f>D172*'Don gia XCSDL DC'!$K$10</f>
        <v>28354.492061379573</v>
      </c>
      <c r="AE172" s="609">
        <f>J172*'Don gia XCSDL DC'!$K$11</f>
        <v>0</v>
      </c>
      <c r="AF172" s="609" t="e">
        <f>S172*'Don gia XCSDL DC'!#REF!</f>
        <v>#REF!</v>
      </c>
      <c r="AG172" s="609" t="e">
        <f>D172*'Don gia XCSDL DC'!#REF!</f>
        <v>#REF!</v>
      </c>
      <c r="AH172" s="609" t="e">
        <f>J172*'Don gia XCSDL DC'!#REF!</f>
        <v>#REF!</v>
      </c>
      <c r="AI172" s="609" t="e">
        <f>D172*'Don gia XCSDL DC'!#REF!</f>
        <v>#REF!</v>
      </c>
      <c r="AJ172" s="609">
        <f>S172*2*'Don gia XCSDL DC'!$K$24</f>
        <v>1542936491.9416854</v>
      </c>
      <c r="AK172" s="609" t="e">
        <f>S172*3*'Don gia XCSDL DC'!#REF!</f>
        <v>#REF!</v>
      </c>
      <c r="AL172" s="609" t="e">
        <f>(S172*2+S172*3)*('Don gia XCSDL DC'!#REF!+'Don gia XCSDL DC'!#REF!+'Don gia XCSDL DC'!#REF!)</f>
        <v>#REF!</v>
      </c>
      <c r="AM172" s="609" t="e">
        <f>O172*'Don gia XCSDL DC'!#REF!*50%</f>
        <v>#REF!</v>
      </c>
      <c r="AN172" s="609" t="e">
        <f>T172*'Don gia XCSDL DC'!#REF!*$AN$8</f>
        <v>#REF!</v>
      </c>
      <c r="AO172" s="609" t="e">
        <f>U172*'Don gia XCSDL DC'!#REF!*1</f>
        <v>#REF!</v>
      </c>
      <c r="AP172" s="609" t="e">
        <f>P172*X172*'Don gia XCSDL DC'!#REF!</f>
        <v>#REF!</v>
      </c>
      <c r="AQ172" s="609" t="e">
        <f>Q172*$AQ$8*'Don gia XCSDL DC'!#REF!</f>
        <v>#REF!</v>
      </c>
      <c r="AR172" s="609" t="e">
        <f>M172*$AR$8*'Don gia XCSDL DC'!#REF!</f>
        <v>#REF!</v>
      </c>
      <c r="AS172" s="609" t="e">
        <f>J172*'Don gia XCSDL DC'!#REF!</f>
        <v>#REF!</v>
      </c>
      <c r="AT172" s="609">
        <f>D172*'Don gia XCSDL DC'!$K$26</f>
        <v>0</v>
      </c>
      <c r="AU172" s="609">
        <f>J172*'Don gia XCSDL DC'!$K$34</f>
        <v>0</v>
      </c>
      <c r="AV172" s="609">
        <f>O172*'Don gia XCSDL DC'!$K$37</f>
        <v>0</v>
      </c>
      <c r="AW172" s="610" t="e">
        <f t="shared" si="80"/>
        <v>#REF!</v>
      </c>
      <c r="AX172" s="611" t="e">
        <f t="shared" si="81"/>
        <v>#REF!</v>
      </c>
      <c r="AY172" s="806" t="e">
        <f t="shared" si="78"/>
        <v>#REF!</v>
      </c>
      <c r="AZ172" s="612" t="e">
        <f>D172*'Don gia XCSDL DC'!#REF!</f>
        <v>#REF!</v>
      </c>
      <c r="BA172" s="613" t="e">
        <f>(Q172+M172)*'Don gia XCSDL DC'!#REF!</f>
        <v>#REF!</v>
      </c>
    </row>
    <row r="173" spans="1:53" ht="24.75" customHeight="1">
      <c r="A173" s="599"/>
      <c r="B173" s="445">
        <v>4</v>
      </c>
      <c r="C173" s="445" t="s">
        <v>433</v>
      </c>
      <c r="D173" s="600">
        <v>15</v>
      </c>
      <c r="E173" s="601">
        <v>15</v>
      </c>
      <c r="F173" s="601">
        <v>1</v>
      </c>
      <c r="G173" s="602">
        <v>1</v>
      </c>
      <c r="H173" s="601"/>
      <c r="I173" s="601"/>
      <c r="J173" s="667">
        <f>129534*1.15</f>
        <v>148964.09999999998</v>
      </c>
      <c r="K173" s="668"/>
      <c r="L173" s="668">
        <f>82356/4*6+6000</f>
        <v>129534</v>
      </c>
      <c r="M173" s="669">
        <f>J173*5%</f>
        <v>7448.204999999999</v>
      </c>
      <c r="N173" s="668">
        <f>J173-M173</f>
        <v>141515.89499999999</v>
      </c>
      <c r="O173" s="668">
        <f>$N173*$W$169</f>
        <v>131751.29824499998</v>
      </c>
      <c r="P173" s="668">
        <f>O173-T173-U173</f>
        <v>110101.79824499998</v>
      </c>
      <c r="Q173" s="668">
        <f>N173-O173</f>
        <v>9764.5967550000059</v>
      </c>
      <c r="R173" s="671"/>
      <c r="S173" s="672">
        <v>74987</v>
      </c>
      <c r="T173" s="603">
        <f>S173*0.15</f>
        <v>11248.05</v>
      </c>
      <c r="U173" s="670">
        <f>86598/4-T173</f>
        <v>10401.450000000001</v>
      </c>
      <c r="V173" s="603">
        <f>S173-T173-U173</f>
        <v>53337.5</v>
      </c>
      <c r="W173" s="603"/>
      <c r="X173" s="607">
        <f t="shared" si="71"/>
        <v>0.58530886306581431</v>
      </c>
      <c r="Y173" s="608">
        <f>S173*12</f>
        <v>899844</v>
      </c>
      <c r="AA173" s="609">
        <f>D173*'Don gia XCSDL DC'!$K$8</f>
        <v>6918.9011215142309</v>
      </c>
      <c r="AB173" s="609">
        <f>D173*'Don gia XCSDL DC'!$K$9</f>
        <v>6601.4752465142319</v>
      </c>
      <c r="AC173" s="609" t="e">
        <f>D173*'Don gia XCSDL DC'!#REF!</f>
        <v>#REF!</v>
      </c>
      <c r="AD173" s="609">
        <f>D173*'Don gia XCSDL DC'!$K$10</f>
        <v>26582.336307543348</v>
      </c>
      <c r="AE173" s="609">
        <f>J173*'Don gia XCSDL DC'!$K$11</f>
        <v>0</v>
      </c>
      <c r="AF173" s="609" t="e">
        <f>S173*'Don gia XCSDL DC'!#REF!</f>
        <v>#REF!</v>
      </c>
      <c r="AG173" s="609" t="e">
        <f>D173*'Don gia XCSDL DC'!#REF!</f>
        <v>#REF!</v>
      </c>
      <c r="AH173" s="609" t="e">
        <f>J173*'Don gia XCSDL DC'!#REF!</f>
        <v>#REF!</v>
      </c>
      <c r="AI173" s="609" t="e">
        <f>D173*'Don gia XCSDL DC'!#REF!</f>
        <v>#REF!</v>
      </c>
      <c r="AJ173" s="609">
        <f>S173*2*'Don gia XCSDL DC'!$K$24</f>
        <v>1282365875.1688151</v>
      </c>
      <c r="AK173" s="609" t="e">
        <f>S173*3*'Don gia XCSDL DC'!#REF!</f>
        <v>#REF!</v>
      </c>
      <c r="AL173" s="609" t="e">
        <f>(S173*2+S173*3)*('Don gia XCSDL DC'!#REF!+'Don gia XCSDL DC'!#REF!+'Don gia XCSDL DC'!#REF!)</f>
        <v>#REF!</v>
      </c>
      <c r="AM173" s="609" t="e">
        <f>O173*'Don gia XCSDL DC'!#REF!*50%</f>
        <v>#REF!</v>
      </c>
      <c r="AN173" s="609" t="e">
        <f>T173*'Don gia XCSDL DC'!#REF!*$AN$8</f>
        <v>#REF!</v>
      </c>
      <c r="AO173" s="609" t="e">
        <f>U173*'Don gia XCSDL DC'!#REF!*1</f>
        <v>#REF!</v>
      </c>
      <c r="AP173" s="609" t="e">
        <f>P173*X173*'Don gia XCSDL DC'!#REF!</f>
        <v>#REF!</v>
      </c>
      <c r="AQ173" s="609" t="e">
        <f>Q173*$AQ$8*'Don gia XCSDL DC'!#REF!</f>
        <v>#REF!</v>
      </c>
      <c r="AR173" s="609" t="e">
        <f>M173*$AR$8*'Don gia XCSDL DC'!#REF!</f>
        <v>#REF!</v>
      </c>
      <c r="AS173" s="609" t="e">
        <f>J173*'Don gia XCSDL DC'!#REF!</f>
        <v>#REF!</v>
      </c>
      <c r="AT173" s="609">
        <f>D173*'Don gia XCSDL DC'!$K$26</f>
        <v>0</v>
      </c>
      <c r="AU173" s="609">
        <f>J173*'Don gia XCSDL DC'!$K$34</f>
        <v>0</v>
      </c>
      <c r="AV173" s="609">
        <f>O173*'Don gia XCSDL DC'!$K$37</f>
        <v>0</v>
      </c>
      <c r="AW173" s="610" t="e">
        <f t="shared" si="80"/>
        <v>#REF!</v>
      </c>
      <c r="AX173" s="611" t="e">
        <f t="shared" si="81"/>
        <v>#REF!</v>
      </c>
      <c r="AY173" s="806" t="e">
        <f t="shared" si="78"/>
        <v>#REF!</v>
      </c>
      <c r="AZ173" s="612" t="e">
        <f>D173*'Don gia XCSDL DC'!#REF!</f>
        <v>#REF!</v>
      </c>
      <c r="BA173" s="613" t="e">
        <f>(Q173+M173)*'Don gia XCSDL DC'!#REF!</f>
        <v>#REF!</v>
      </c>
    </row>
    <row r="174" spans="1:53" s="723" customFormat="1" ht="24.75" customHeight="1">
      <c r="A174" s="712"/>
      <c r="B174" s="713"/>
      <c r="C174" s="713" t="s">
        <v>434</v>
      </c>
      <c r="D174" s="714">
        <v>16</v>
      </c>
      <c r="E174" s="715">
        <v>16</v>
      </c>
      <c r="F174" s="715"/>
      <c r="G174" s="715">
        <v>1</v>
      </c>
      <c r="H174" s="715"/>
      <c r="I174" s="715"/>
      <c r="J174" s="730">
        <v>47936</v>
      </c>
      <c r="K174" s="716"/>
      <c r="L174" s="734">
        <v>47936</v>
      </c>
      <c r="M174" s="719"/>
      <c r="N174" s="718"/>
      <c r="O174" s="718"/>
      <c r="P174" s="718"/>
      <c r="Q174" s="718"/>
      <c r="R174" s="718"/>
      <c r="S174" s="718"/>
      <c r="T174" s="718"/>
      <c r="U174" s="730"/>
      <c r="V174" s="718"/>
      <c r="W174" s="718"/>
      <c r="X174" s="721"/>
      <c r="Y174" s="722"/>
      <c r="AA174" s="609"/>
      <c r="AB174" s="609"/>
      <c r="AC174" s="609"/>
      <c r="AD174" s="724"/>
      <c r="AE174" s="724"/>
      <c r="AF174" s="724"/>
      <c r="AG174" s="724"/>
      <c r="AH174" s="724"/>
      <c r="AI174" s="724"/>
      <c r="AJ174" s="724"/>
      <c r="AK174" s="724"/>
      <c r="AL174" s="724"/>
      <c r="AM174" s="724"/>
      <c r="AN174" s="724"/>
      <c r="AO174" s="724"/>
      <c r="AP174" s="724"/>
      <c r="AQ174" s="724"/>
      <c r="AR174" s="724"/>
      <c r="AS174" s="724"/>
      <c r="AT174" s="724"/>
      <c r="AU174" s="724"/>
      <c r="AV174" s="609"/>
      <c r="AW174" s="610"/>
      <c r="AX174" s="611"/>
      <c r="AY174" s="807"/>
      <c r="AZ174" s="612"/>
      <c r="BA174" s="613"/>
    </row>
    <row r="175" spans="1:53" s="723" customFormat="1" ht="24.75" customHeight="1">
      <c r="A175" s="712"/>
      <c r="B175" s="713"/>
      <c r="C175" s="713" t="s">
        <v>435</v>
      </c>
      <c r="D175" s="714">
        <v>18</v>
      </c>
      <c r="E175" s="715">
        <v>18</v>
      </c>
      <c r="F175" s="715"/>
      <c r="G175" s="715">
        <v>1</v>
      </c>
      <c r="H175" s="715"/>
      <c r="I175" s="715"/>
      <c r="J175" s="730">
        <v>141559</v>
      </c>
      <c r="K175" s="716"/>
      <c r="L175" s="734">
        <v>141559</v>
      </c>
      <c r="M175" s="719"/>
      <c r="N175" s="718"/>
      <c r="O175" s="718"/>
      <c r="P175" s="718"/>
      <c r="Q175" s="718"/>
      <c r="R175" s="718"/>
      <c r="S175" s="718"/>
      <c r="T175" s="718"/>
      <c r="U175" s="730"/>
      <c r="V175" s="718"/>
      <c r="W175" s="718"/>
      <c r="X175" s="721"/>
      <c r="Y175" s="722"/>
      <c r="AA175" s="609"/>
      <c r="AB175" s="609"/>
      <c r="AC175" s="609"/>
      <c r="AD175" s="724"/>
      <c r="AE175" s="724"/>
      <c r="AF175" s="724"/>
      <c r="AG175" s="724"/>
      <c r="AH175" s="724"/>
      <c r="AI175" s="724"/>
      <c r="AJ175" s="724"/>
      <c r="AK175" s="724"/>
      <c r="AL175" s="724"/>
      <c r="AM175" s="724"/>
      <c r="AN175" s="724"/>
      <c r="AO175" s="724"/>
      <c r="AP175" s="724"/>
      <c r="AQ175" s="724"/>
      <c r="AR175" s="724"/>
      <c r="AS175" s="724"/>
      <c r="AT175" s="724"/>
      <c r="AU175" s="724"/>
      <c r="AV175" s="609"/>
      <c r="AW175" s="610"/>
      <c r="AX175" s="611"/>
      <c r="AY175" s="807"/>
      <c r="AZ175" s="612"/>
      <c r="BA175" s="613"/>
    </row>
    <row r="176" spans="1:53" s="723" customFormat="1" ht="24.75" customHeight="1">
      <c r="A176" s="712"/>
      <c r="B176" s="713"/>
      <c r="C176" s="713" t="s">
        <v>436</v>
      </c>
      <c r="D176" s="714">
        <v>16</v>
      </c>
      <c r="E176" s="715">
        <v>16</v>
      </c>
      <c r="F176" s="715"/>
      <c r="G176" s="715">
        <v>1</v>
      </c>
      <c r="H176" s="715"/>
      <c r="I176" s="715"/>
      <c r="J176" s="730">
        <v>79984</v>
      </c>
      <c r="K176" s="716"/>
      <c r="L176" s="734">
        <v>79984</v>
      </c>
      <c r="M176" s="719"/>
      <c r="N176" s="718"/>
      <c r="O176" s="718"/>
      <c r="P176" s="718"/>
      <c r="Q176" s="718"/>
      <c r="R176" s="718"/>
      <c r="S176" s="718"/>
      <c r="T176" s="718"/>
      <c r="U176" s="730"/>
      <c r="V176" s="718"/>
      <c r="W176" s="718"/>
      <c r="X176" s="721"/>
      <c r="Y176" s="722"/>
      <c r="AA176" s="609"/>
      <c r="AB176" s="609"/>
      <c r="AC176" s="609"/>
      <c r="AD176" s="724"/>
      <c r="AE176" s="724"/>
      <c r="AF176" s="724"/>
      <c r="AG176" s="724"/>
      <c r="AH176" s="724"/>
      <c r="AI176" s="724"/>
      <c r="AJ176" s="724"/>
      <c r="AK176" s="724"/>
      <c r="AL176" s="724"/>
      <c r="AM176" s="724"/>
      <c r="AN176" s="724"/>
      <c r="AO176" s="724"/>
      <c r="AP176" s="724"/>
      <c r="AQ176" s="724"/>
      <c r="AR176" s="724"/>
      <c r="AS176" s="724"/>
      <c r="AT176" s="724"/>
      <c r="AU176" s="724"/>
      <c r="AV176" s="609"/>
      <c r="AW176" s="610"/>
      <c r="AX176" s="611"/>
      <c r="AY176" s="807"/>
      <c r="AZ176" s="612"/>
      <c r="BA176" s="613"/>
    </row>
    <row r="177" spans="1:53" s="723" customFormat="1" ht="24.75" customHeight="1">
      <c r="A177" s="712"/>
      <c r="B177" s="713"/>
      <c r="C177" s="713" t="s">
        <v>437</v>
      </c>
      <c r="D177" s="714">
        <v>30</v>
      </c>
      <c r="E177" s="715">
        <v>30</v>
      </c>
      <c r="F177" s="715"/>
      <c r="G177" s="715">
        <v>1</v>
      </c>
      <c r="H177" s="715"/>
      <c r="I177" s="715"/>
      <c r="J177" s="730">
        <v>262567</v>
      </c>
      <c r="K177" s="716"/>
      <c r="L177" s="718">
        <v>262567</v>
      </c>
      <c r="M177" s="719"/>
      <c r="N177" s="718"/>
      <c r="O177" s="718"/>
      <c r="P177" s="718"/>
      <c r="Q177" s="718"/>
      <c r="R177" s="718"/>
      <c r="S177" s="718"/>
      <c r="T177" s="718"/>
      <c r="U177" s="730"/>
      <c r="V177" s="718"/>
      <c r="W177" s="718"/>
      <c r="X177" s="721"/>
      <c r="Y177" s="722"/>
      <c r="AA177" s="609"/>
      <c r="AB177" s="609"/>
      <c r="AC177" s="609"/>
      <c r="AD177" s="724"/>
      <c r="AE177" s="724"/>
      <c r="AF177" s="724"/>
      <c r="AG177" s="724"/>
      <c r="AH177" s="724"/>
      <c r="AI177" s="724"/>
      <c r="AJ177" s="724"/>
      <c r="AK177" s="724"/>
      <c r="AL177" s="724"/>
      <c r="AM177" s="724"/>
      <c r="AN177" s="724"/>
      <c r="AO177" s="724"/>
      <c r="AP177" s="724"/>
      <c r="AQ177" s="724"/>
      <c r="AR177" s="724"/>
      <c r="AS177" s="724"/>
      <c r="AT177" s="724"/>
      <c r="AU177" s="724"/>
      <c r="AV177" s="609"/>
      <c r="AW177" s="610"/>
      <c r="AX177" s="611"/>
      <c r="AY177" s="807"/>
      <c r="AZ177" s="612"/>
      <c r="BA177" s="613"/>
    </row>
    <row r="178" spans="1:53" s="598" customFormat="1" ht="24.75" customHeight="1">
      <c r="A178" s="589">
        <v>4</v>
      </c>
      <c r="B178" s="1945" t="s">
        <v>438</v>
      </c>
      <c r="C178" s="1945"/>
      <c r="D178" s="594"/>
      <c r="E178" s="595">
        <f>SUM(E179:E185)</f>
        <v>102</v>
      </c>
      <c r="F178" s="595">
        <f>SUM(F179:F185)</f>
        <v>7</v>
      </c>
      <c r="G178" s="596">
        <f>SUM(G179:G187)</f>
        <v>9</v>
      </c>
      <c r="H178" s="595">
        <v>10</v>
      </c>
      <c r="I178" s="595"/>
      <c r="J178" s="595">
        <f t="shared" ref="J178:Q178" si="92">SUM(J179:J185)</f>
        <v>655043</v>
      </c>
      <c r="K178" s="595">
        <f t="shared" si="92"/>
        <v>465655</v>
      </c>
      <c r="L178" s="595">
        <f t="shared" si="92"/>
        <v>590586</v>
      </c>
      <c r="M178" s="595">
        <f t="shared" si="92"/>
        <v>131008.6</v>
      </c>
      <c r="N178" s="595">
        <f t="shared" si="92"/>
        <v>524034.4</v>
      </c>
      <c r="O178" s="595">
        <f t="shared" si="92"/>
        <v>467962.71919999999</v>
      </c>
      <c r="P178" s="595">
        <f t="shared" si="92"/>
        <v>218773.06919999997</v>
      </c>
      <c r="Q178" s="595">
        <f t="shared" si="92"/>
        <v>56071.680800000002</v>
      </c>
      <c r="R178" s="595"/>
      <c r="S178" s="595">
        <f>SUM(S179:S185)</f>
        <v>362392</v>
      </c>
      <c r="T178" s="595">
        <f>SUM(T179:T185)</f>
        <v>18385.650000000001</v>
      </c>
      <c r="U178" s="595">
        <f>SUM(U179:U185)</f>
        <v>230804</v>
      </c>
      <c r="V178" s="595">
        <f>SUM(V179:V185)</f>
        <v>113202.35</v>
      </c>
      <c r="W178" s="597">
        <v>0.89300000000000002</v>
      </c>
      <c r="X178" s="607">
        <f t="shared" si="71"/>
        <v>0.61185543176099255</v>
      </c>
      <c r="Y178" s="595">
        <f>SUM(Y179:Y185)</f>
        <v>4348704</v>
      </c>
      <c r="AA178" s="609"/>
      <c r="AB178" s="609"/>
      <c r="AC178" s="609"/>
      <c r="AD178" s="609"/>
      <c r="AE178" s="609"/>
      <c r="AF178" s="609"/>
      <c r="AG178" s="609"/>
      <c r="AH178" s="609"/>
      <c r="AI178" s="609"/>
      <c r="AJ178" s="609"/>
      <c r="AK178" s="609"/>
      <c r="AL178" s="609"/>
      <c r="AM178" s="609"/>
      <c r="AN178" s="609"/>
      <c r="AO178" s="609"/>
      <c r="AP178" s="609"/>
      <c r="AQ178" s="609"/>
      <c r="AR178" s="609"/>
      <c r="AS178" s="609"/>
      <c r="AT178" s="609"/>
      <c r="AU178" s="609"/>
      <c r="AV178" s="609"/>
      <c r="AW178" s="610"/>
      <c r="AX178" s="611"/>
      <c r="AY178" s="806"/>
      <c r="AZ178" s="612"/>
      <c r="BA178" s="613"/>
    </row>
    <row r="179" spans="1:53" s="598" customFormat="1" ht="24.75" customHeight="1">
      <c r="A179" s="605">
        <v>9</v>
      </c>
      <c r="B179" s="445">
        <v>1</v>
      </c>
      <c r="C179" s="673" t="s">
        <v>439</v>
      </c>
      <c r="D179" s="674">
        <v>9</v>
      </c>
      <c r="E179" s="605">
        <v>9</v>
      </c>
      <c r="F179" s="605">
        <v>1</v>
      </c>
      <c r="G179" s="596">
        <v>1</v>
      </c>
      <c r="H179" s="650"/>
      <c r="I179" s="650"/>
      <c r="J179" s="603">
        <v>61802</v>
      </c>
      <c r="K179" s="605"/>
      <c r="L179" s="605">
        <f>81951/3*1.5</f>
        <v>40975.5</v>
      </c>
      <c r="M179" s="605">
        <f t="shared" ref="M179:M185" si="93">J179*20%</f>
        <v>12360.400000000001</v>
      </c>
      <c r="N179" s="604">
        <f t="shared" ref="N179:N185" si="94">J179-M179</f>
        <v>49441.599999999999</v>
      </c>
      <c r="O179" s="604">
        <f t="shared" ref="O179:O185" si="95">$N179*$W$178</f>
        <v>44151.3488</v>
      </c>
      <c r="P179" s="604">
        <f t="shared" ref="P179:P185" si="96">O179-T179-U179</f>
        <v>13586.148799999995</v>
      </c>
      <c r="Q179" s="604">
        <f t="shared" ref="Q179:Q185" si="97">N179-O179</f>
        <v>5290.2511999999988</v>
      </c>
      <c r="R179" s="604"/>
      <c r="S179" s="650">
        <v>35271</v>
      </c>
      <c r="T179" s="675">
        <f>S179*0.2</f>
        <v>7054.2000000000007</v>
      </c>
      <c r="U179" s="670">
        <v>23511</v>
      </c>
      <c r="V179" s="603">
        <f t="shared" ref="V179:V185" si="98">S179-T179-U179</f>
        <v>4705.7999999999993</v>
      </c>
      <c r="W179" s="676"/>
      <c r="X179" s="607">
        <f t="shared" si="71"/>
        <v>0.47425209621037617</v>
      </c>
      <c r="Y179" s="608">
        <f t="shared" ref="Y179:Y185" si="99">S179*12</f>
        <v>423252</v>
      </c>
      <c r="AA179" s="609">
        <f>D179*'Don gia XCSDL DC'!$K$8</f>
        <v>4151.3406729085382</v>
      </c>
      <c r="AB179" s="609">
        <f>D179*'Don gia XCSDL DC'!$K$9</f>
        <v>3960.8851479085388</v>
      </c>
      <c r="AC179" s="609" t="e">
        <f>D179*'Don gia XCSDL DC'!#REF!</f>
        <v>#REF!</v>
      </c>
      <c r="AD179" s="609">
        <f>D179*'Don gia XCSDL DC'!$K$10</f>
        <v>15949.40178452601</v>
      </c>
      <c r="AE179" s="609">
        <f>J179*'Don gia XCSDL DC'!$K$11</f>
        <v>0</v>
      </c>
      <c r="AF179" s="609" t="e">
        <f>S179*'Don gia XCSDL DC'!#REF!</f>
        <v>#REF!</v>
      </c>
      <c r="AG179" s="609" t="e">
        <f>D179*'Don gia XCSDL DC'!#REF!</f>
        <v>#REF!</v>
      </c>
      <c r="AH179" s="609" t="e">
        <f>J179*'Don gia XCSDL DC'!#REF!</f>
        <v>#REF!</v>
      </c>
      <c r="AI179" s="609" t="e">
        <f>D179*'Don gia XCSDL DC'!#REF!</f>
        <v>#REF!</v>
      </c>
      <c r="AJ179" s="609">
        <f>S179*2*'Don gia XCSDL DC'!$K$24</f>
        <v>603175574.20725298</v>
      </c>
      <c r="AK179" s="609" t="e">
        <f>S179*3*'Don gia XCSDL DC'!#REF!</f>
        <v>#REF!</v>
      </c>
      <c r="AL179" s="609" t="e">
        <f>(S179*2+S179*3)*('Don gia XCSDL DC'!#REF!+'Don gia XCSDL DC'!#REF!+'Don gia XCSDL DC'!#REF!)</f>
        <v>#REF!</v>
      </c>
      <c r="AM179" s="609" t="e">
        <f>O179*'Don gia XCSDL DC'!#REF!*50%</f>
        <v>#REF!</v>
      </c>
      <c r="AN179" s="609" t="e">
        <f>T179*'Don gia XCSDL DC'!#REF!*$AN$8</f>
        <v>#REF!</v>
      </c>
      <c r="AO179" s="609" t="e">
        <f>U179*'Don gia XCSDL DC'!#REF!*1</f>
        <v>#REF!</v>
      </c>
      <c r="AP179" s="609" t="e">
        <f>P179*X179*'Don gia XCSDL DC'!#REF!</f>
        <v>#REF!</v>
      </c>
      <c r="AQ179" s="609" t="e">
        <f>Q179*$AQ$8*'Don gia XCSDL DC'!#REF!</f>
        <v>#REF!</v>
      </c>
      <c r="AR179" s="609" t="e">
        <f>M179*$AR$8*'Don gia XCSDL DC'!#REF!</f>
        <v>#REF!</v>
      </c>
      <c r="AS179" s="609" t="e">
        <f>J179*'Don gia XCSDL DC'!#REF!</f>
        <v>#REF!</v>
      </c>
      <c r="AT179" s="609">
        <f>D179*'Don gia XCSDL DC'!$K$26</f>
        <v>0</v>
      </c>
      <c r="AU179" s="609">
        <f>J179*'Don gia XCSDL DC'!$K$34</f>
        <v>0</v>
      </c>
      <c r="AV179" s="609">
        <f>O179*'Don gia XCSDL DC'!$K$37</f>
        <v>0</v>
      </c>
      <c r="AW179" s="610" t="e">
        <f t="shared" si="80"/>
        <v>#REF!</v>
      </c>
      <c r="AX179" s="611" t="e">
        <f t="shared" si="81"/>
        <v>#REF!</v>
      </c>
      <c r="AY179" s="806" t="e">
        <f t="shared" si="78"/>
        <v>#REF!</v>
      </c>
      <c r="AZ179" s="612" t="e">
        <f>D179*'Don gia XCSDL DC'!#REF!</f>
        <v>#REF!</v>
      </c>
      <c r="BA179" s="613" t="e">
        <f>(Q179+M179)*'Don gia XCSDL DC'!#REF!</f>
        <v>#REF!</v>
      </c>
    </row>
    <row r="180" spans="1:53" ht="24.75" customHeight="1">
      <c r="A180" s="601"/>
      <c r="B180" s="445">
        <v>2</v>
      </c>
      <c r="C180" s="445" t="s">
        <v>440</v>
      </c>
      <c r="D180" s="600">
        <v>22</v>
      </c>
      <c r="E180" s="601">
        <v>22</v>
      </c>
      <c r="F180" s="601">
        <v>1</v>
      </c>
      <c r="G180" s="602">
        <v>1</v>
      </c>
      <c r="H180" s="677"/>
      <c r="I180" s="678"/>
      <c r="J180" s="603">
        <v>92573</v>
      </c>
      <c r="K180" s="604"/>
      <c r="L180" s="604">
        <f>54247/4*6+25000</f>
        <v>106370.5</v>
      </c>
      <c r="M180" s="605">
        <f t="shared" si="93"/>
        <v>18514.600000000002</v>
      </c>
      <c r="N180" s="604">
        <f t="shared" si="94"/>
        <v>74058.399999999994</v>
      </c>
      <c r="O180" s="604">
        <f t="shared" si="95"/>
        <v>66134.151199999993</v>
      </c>
      <c r="P180" s="604">
        <f t="shared" si="96"/>
        <v>39320.85119999999</v>
      </c>
      <c r="Q180" s="604">
        <f t="shared" si="97"/>
        <v>7924.2488000000012</v>
      </c>
      <c r="R180" s="679"/>
      <c r="S180" s="677">
        <v>41526</v>
      </c>
      <c r="T180" s="680">
        <f>S180*0.05</f>
        <v>2076.3000000000002</v>
      </c>
      <c r="U180" s="665">
        <v>24737</v>
      </c>
      <c r="V180" s="604">
        <f t="shared" si="98"/>
        <v>14712.699999999997</v>
      </c>
      <c r="W180" s="604"/>
      <c r="X180" s="607">
        <f t="shared" si="71"/>
        <v>0.49661534993069711</v>
      </c>
      <c r="Y180" s="608">
        <f t="shared" si="99"/>
        <v>498312</v>
      </c>
      <c r="AA180" s="609">
        <f>D180*'Don gia XCSDL DC'!$K$8</f>
        <v>10147.721644887539</v>
      </c>
      <c r="AB180" s="609">
        <f>D180*'Don gia XCSDL DC'!$K$9</f>
        <v>9682.1636948875403</v>
      </c>
      <c r="AC180" s="609" t="e">
        <f>D180*'Don gia XCSDL DC'!#REF!</f>
        <v>#REF!</v>
      </c>
      <c r="AD180" s="609">
        <f>D180*'Don gia XCSDL DC'!$K$10</f>
        <v>38987.426584396911</v>
      </c>
      <c r="AE180" s="609">
        <f>J180*'Don gia XCSDL DC'!$K$11</f>
        <v>0</v>
      </c>
      <c r="AF180" s="609" t="e">
        <f>S180*'Don gia XCSDL DC'!#REF!</f>
        <v>#REF!</v>
      </c>
      <c r="AG180" s="609" t="e">
        <f>D180*'Don gia XCSDL DC'!#REF!</f>
        <v>#REF!</v>
      </c>
      <c r="AH180" s="609" t="e">
        <f>J180*'Don gia XCSDL DC'!#REF!</f>
        <v>#REF!</v>
      </c>
      <c r="AI180" s="609" t="e">
        <f>D180*'Don gia XCSDL DC'!#REF!</f>
        <v>#REF!</v>
      </c>
      <c r="AJ180" s="609">
        <f>S180*2*'Don gia XCSDL DC'!$K$24</f>
        <v>710143429.29121339</v>
      </c>
      <c r="AK180" s="609" t="e">
        <f>S180*3*'Don gia XCSDL DC'!#REF!</f>
        <v>#REF!</v>
      </c>
      <c r="AL180" s="609" t="e">
        <f>(S180*2+S180*3)*('Don gia XCSDL DC'!#REF!+'Don gia XCSDL DC'!#REF!+'Don gia XCSDL DC'!#REF!)</f>
        <v>#REF!</v>
      </c>
      <c r="AM180" s="609" t="e">
        <f>O180*'Don gia XCSDL DC'!#REF!*50%</f>
        <v>#REF!</v>
      </c>
      <c r="AN180" s="609" t="e">
        <f>T180*'Don gia XCSDL DC'!#REF!*$AN$8</f>
        <v>#REF!</v>
      </c>
      <c r="AO180" s="609" t="e">
        <f>U180*'Don gia XCSDL DC'!#REF!*1</f>
        <v>#REF!</v>
      </c>
      <c r="AP180" s="609" t="e">
        <f>P180*X180*'Don gia XCSDL DC'!#REF!</f>
        <v>#REF!</v>
      </c>
      <c r="AQ180" s="609" t="e">
        <f>Q180*$AQ$8*'Don gia XCSDL DC'!#REF!</f>
        <v>#REF!</v>
      </c>
      <c r="AR180" s="609" t="e">
        <f>M180*$AR$8*'Don gia XCSDL DC'!#REF!</f>
        <v>#REF!</v>
      </c>
      <c r="AS180" s="609" t="e">
        <f>J180*'Don gia XCSDL DC'!#REF!</f>
        <v>#REF!</v>
      </c>
      <c r="AT180" s="609">
        <f>D180*'Don gia XCSDL DC'!$K$26</f>
        <v>0</v>
      </c>
      <c r="AU180" s="609">
        <f>J180*'Don gia XCSDL DC'!$K$34</f>
        <v>0</v>
      </c>
      <c r="AV180" s="609">
        <f>O180*'Don gia XCSDL DC'!$K$37</f>
        <v>0</v>
      </c>
      <c r="AW180" s="610" t="e">
        <f t="shared" si="80"/>
        <v>#REF!</v>
      </c>
      <c r="AX180" s="611" t="e">
        <f t="shared" si="81"/>
        <v>#REF!</v>
      </c>
      <c r="AY180" s="806" t="e">
        <f t="shared" si="78"/>
        <v>#REF!</v>
      </c>
      <c r="AZ180" s="612" t="e">
        <f>D180*'Don gia XCSDL DC'!#REF!</f>
        <v>#REF!</v>
      </c>
      <c r="BA180" s="613" t="e">
        <f>(Q180+M180)*'Don gia XCSDL DC'!#REF!</f>
        <v>#REF!</v>
      </c>
    </row>
    <row r="181" spans="1:53" ht="24.75" customHeight="1">
      <c r="A181" s="601"/>
      <c r="B181" s="445">
        <v>3</v>
      </c>
      <c r="C181" s="445" t="s">
        <v>441</v>
      </c>
      <c r="D181" s="600">
        <v>21</v>
      </c>
      <c r="E181" s="601">
        <v>21</v>
      </c>
      <c r="F181" s="601">
        <v>1</v>
      </c>
      <c r="G181" s="602">
        <v>1</v>
      </c>
      <c r="H181" s="677"/>
      <c r="I181" s="678"/>
      <c r="J181" s="603">
        <v>143543</v>
      </c>
      <c r="K181" s="604">
        <v>143740</v>
      </c>
      <c r="L181" s="604">
        <v>143740</v>
      </c>
      <c r="M181" s="605">
        <f t="shared" si="93"/>
        <v>28708.600000000002</v>
      </c>
      <c r="N181" s="604">
        <f t="shared" si="94"/>
        <v>114834.4</v>
      </c>
      <c r="O181" s="604">
        <f t="shared" si="95"/>
        <v>102547.1192</v>
      </c>
      <c r="P181" s="604">
        <f t="shared" si="96"/>
        <v>31235.879199999996</v>
      </c>
      <c r="Q181" s="604">
        <f t="shared" si="97"/>
        <v>12287.280799999993</v>
      </c>
      <c r="R181" s="679"/>
      <c r="S181" s="677">
        <v>87416</v>
      </c>
      <c r="T181" s="675">
        <f>S181*0.015</f>
        <v>1311.24</v>
      </c>
      <c r="U181" s="670">
        <v>70000</v>
      </c>
      <c r="V181" s="603">
        <f t="shared" si="98"/>
        <v>16104.759999999995</v>
      </c>
      <c r="W181" s="603"/>
      <c r="X181" s="607">
        <f t="shared" si="71"/>
        <v>0.61036208531685532</v>
      </c>
      <c r="Y181" s="608">
        <f t="shared" si="99"/>
        <v>1048992</v>
      </c>
      <c r="AA181" s="609">
        <f>D181*'Don gia XCSDL DC'!$K$8</f>
        <v>9686.4615701199236</v>
      </c>
      <c r="AB181" s="609">
        <f>D181*'Don gia XCSDL DC'!$K$9</f>
        <v>9242.065345119925</v>
      </c>
      <c r="AC181" s="609" t="e">
        <f>D181*'Don gia XCSDL DC'!#REF!</f>
        <v>#REF!</v>
      </c>
      <c r="AD181" s="609">
        <f>D181*'Don gia XCSDL DC'!$K$10</f>
        <v>37215.270830560687</v>
      </c>
      <c r="AE181" s="609">
        <f>J181*'Don gia XCSDL DC'!$K$11</f>
        <v>0</v>
      </c>
      <c r="AF181" s="609" t="e">
        <f>S181*'Don gia XCSDL DC'!#REF!</f>
        <v>#REF!</v>
      </c>
      <c r="AG181" s="609" t="e">
        <f>D181*'Don gia XCSDL DC'!#REF!</f>
        <v>#REF!</v>
      </c>
      <c r="AH181" s="609" t="e">
        <f>J181*'Don gia XCSDL DC'!#REF!</f>
        <v>#REF!</v>
      </c>
      <c r="AI181" s="609" t="e">
        <f>D181*'Don gia XCSDL DC'!#REF!</f>
        <v>#REF!</v>
      </c>
      <c r="AJ181" s="609">
        <f>S181*2*'Don gia XCSDL DC'!$K$24</f>
        <v>1494916390.0910444</v>
      </c>
      <c r="AK181" s="609" t="e">
        <f>S181*3*'Don gia XCSDL DC'!#REF!</f>
        <v>#REF!</v>
      </c>
      <c r="AL181" s="609" t="e">
        <f>(S181*2+S181*3)*('Don gia XCSDL DC'!#REF!+'Don gia XCSDL DC'!#REF!+'Don gia XCSDL DC'!#REF!)</f>
        <v>#REF!</v>
      </c>
      <c r="AM181" s="609" t="e">
        <f>O181*'Don gia XCSDL DC'!#REF!*50%</f>
        <v>#REF!</v>
      </c>
      <c r="AN181" s="609" t="e">
        <f>T181*'Don gia XCSDL DC'!#REF!*$AN$8</f>
        <v>#REF!</v>
      </c>
      <c r="AO181" s="609" t="e">
        <f>U181*'Don gia XCSDL DC'!#REF!*1</f>
        <v>#REF!</v>
      </c>
      <c r="AP181" s="609" t="e">
        <f>P181*X181*'Don gia XCSDL DC'!#REF!</f>
        <v>#REF!</v>
      </c>
      <c r="AQ181" s="609" t="e">
        <f>Q181*$AQ$8*'Don gia XCSDL DC'!#REF!</f>
        <v>#REF!</v>
      </c>
      <c r="AR181" s="609" t="e">
        <f>M181*$AR$8*'Don gia XCSDL DC'!#REF!</f>
        <v>#REF!</v>
      </c>
      <c r="AS181" s="609" t="e">
        <f>J181*'Don gia XCSDL DC'!#REF!</f>
        <v>#REF!</v>
      </c>
      <c r="AT181" s="609">
        <f>D181*'Don gia XCSDL DC'!$K$26</f>
        <v>0</v>
      </c>
      <c r="AU181" s="609">
        <f>J181*'Don gia XCSDL DC'!$K$34</f>
        <v>0</v>
      </c>
      <c r="AV181" s="609">
        <f>O181*'Don gia XCSDL DC'!$K$37</f>
        <v>0</v>
      </c>
      <c r="AW181" s="610" t="e">
        <f t="shared" si="80"/>
        <v>#REF!</v>
      </c>
      <c r="AX181" s="611" t="e">
        <f t="shared" si="81"/>
        <v>#REF!</v>
      </c>
      <c r="AY181" s="806" t="e">
        <f t="shared" si="78"/>
        <v>#REF!</v>
      </c>
      <c r="AZ181" s="612" t="e">
        <f>D181*'Don gia XCSDL DC'!#REF!</f>
        <v>#REF!</v>
      </c>
      <c r="BA181" s="613" t="e">
        <f>(Q181+M181)*'Don gia XCSDL DC'!#REF!</f>
        <v>#REF!</v>
      </c>
    </row>
    <row r="182" spans="1:53" ht="24.75" customHeight="1">
      <c r="A182" s="601"/>
      <c r="B182" s="445">
        <v>4</v>
      </c>
      <c r="C182" s="445" t="s">
        <v>442</v>
      </c>
      <c r="D182" s="600">
        <v>9</v>
      </c>
      <c r="E182" s="601">
        <v>9</v>
      </c>
      <c r="F182" s="601">
        <v>1</v>
      </c>
      <c r="G182" s="602">
        <v>1</v>
      </c>
      <c r="H182" s="677"/>
      <c r="I182" s="678"/>
      <c r="J182" s="603">
        <v>86370</v>
      </c>
      <c r="K182" s="604">
        <v>96368</v>
      </c>
      <c r="L182" s="604">
        <v>96368</v>
      </c>
      <c r="M182" s="605">
        <f t="shared" si="93"/>
        <v>17274</v>
      </c>
      <c r="N182" s="604">
        <f t="shared" si="94"/>
        <v>69096</v>
      </c>
      <c r="O182" s="604">
        <f t="shared" si="95"/>
        <v>61702.728000000003</v>
      </c>
      <c r="P182" s="604">
        <f t="shared" si="96"/>
        <v>23282.028000000006</v>
      </c>
      <c r="Q182" s="604">
        <f t="shared" si="97"/>
        <v>7393.2719999999972</v>
      </c>
      <c r="R182" s="679"/>
      <c r="S182" s="677">
        <v>48414</v>
      </c>
      <c r="T182" s="675">
        <f>S182*0.05</f>
        <v>2420.7000000000003</v>
      </c>
      <c r="U182" s="670">
        <f>72000/3*1.5</f>
        <v>36000</v>
      </c>
      <c r="V182" s="603">
        <f t="shared" si="98"/>
        <v>9993.3000000000029</v>
      </c>
      <c r="W182" s="603"/>
      <c r="X182" s="607">
        <f t="shared" si="71"/>
        <v>0.54090084084338064</v>
      </c>
      <c r="Y182" s="608">
        <f t="shared" si="99"/>
        <v>580968</v>
      </c>
      <c r="AA182" s="609">
        <f>D182*'Don gia XCSDL DC'!$K$8</f>
        <v>4151.3406729085382</v>
      </c>
      <c r="AB182" s="609">
        <f>D182*'Don gia XCSDL DC'!$K$9</f>
        <v>3960.8851479085388</v>
      </c>
      <c r="AC182" s="609" t="e">
        <f>D182*'Don gia XCSDL DC'!#REF!</f>
        <v>#REF!</v>
      </c>
      <c r="AD182" s="609">
        <f>D182*'Don gia XCSDL DC'!$K$10</f>
        <v>15949.40178452601</v>
      </c>
      <c r="AE182" s="609">
        <f>J182*'Don gia XCSDL DC'!$K$11</f>
        <v>0</v>
      </c>
      <c r="AF182" s="609" t="e">
        <f>S182*'Don gia XCSDL DC'!#REF!</f>
        <v>#REF!</v>
      </c>
      <c r="AG182" s="609" t="e">
        <f>D182*'Don gia XCSDL DC'!#REF!</f>
        <v>#REF!</v>
      </c>
      <c r="AH182" s="609" t="e">
        <f>J182*'Don gia XCSDL DC'!#REF!</f>
        <v>#REF!</v>
      </c>
      <c r="AI182" s="609" t="e">
        <f>D182*'Don gia XCSDL DC'!#REF!</f>
        <v>#REF!</v>
      </c>
      <c r="AJ182" s="609">
        <f>S182*2*'Don gia XCSDL DC'!$K$24</f>
        <v>827936328.70261526</v>
      </c>
      <c r="AK182" s="609" t="e">
        <f>S182*3*'Don gia XCSDL DC'!#REF!</f>
        <v>#REF!</v>
      </c>
      <c r="AL182" s="609" t="e">
        <f>(S182*2+S182*3)*('Don gia XCSDL DC'!#REF!+'Don gia XCSDL DC'!#REF!+'Don gia XCSDL DC'!#REF!)</f>
        <v>#REF!</v>
      </c>
      <c r="AM182" s="609" t="e">
        <f>O182*'Don gia XCSDL DC'!#REF!*50%</f>
        <v>#REF!</v>
      </c>
      <c r="AN182" s="609" t="e">
        <f>T182*'Don gia XCSDL DC'!#REF!*$AN$8</f>
        <v>#REF!</v>
      </c>
      <c r="AO182" s="609" t="e">
        <f>U182*'Don gia XCSDL DC'!#REF!*1</f>
        <v>#REF!</v>
      </c>
      <c r="AP182" s="609" t="e">
        <f>P182*X182*'Don gia XCSDL DC'!#REF!</f>
        <v>#REF!</v>
      </c>
      <c r="AQ182" s="609" t="e">
        <f>Q182*$AQ$8*'Don gia XCSDL DC'!#REF!</f>
        <v>#REF!</v>
      </c>
      <c r="AR182" s="609" t="e">
        <f>M182*$AR$8*'Don gia XCSDL DC'!#REF!</f>
        <v>#REF!</v>
      </c>
      <c r="AS182" s="609" t="e">
        <f>J182*'Don gia XCSDL DC'!#REF!</f>
        <v>#REF!</v>
      </c>
      <c r="AT182" s="609">
        <f>D182*'Don gia XCSDL DC'!$K$26</f>
        <v>0</v>
      </c>
      <c r="AU182" s="609">
        <f>J182*'Don gia XCSDL DC'!$K$34</f>
        <v>0</v>
      </c>
      <c r="AV182" s="609">
        <f>O182*'Don gia XCSDL DC'!$K$37</f>
        <v>0</v>
      </c>
      <c r="AW182" s="610" t="e">
        <f t="shared" si="80"/>
        <v>#REF!</v>
      </c>
      <c r="AX182" s="611" t="e">
        <f t="shared" si="81"/>
        <v>#REF!</v>
      </c>
      <c r="AY182" s="806" t="e">
        <f t="shared" si="78"/>
        <v>#REF!</v>
      </c>
      <c r="AZ182" s="612" t="e">
        <f>D182*'Don gia XCSDL DC'!#REF!</f>
        <v>#REF!</v>
      </c>
      <c r="BA182" s="613" t="e">
        <f>(Q182+M182)*'Don gia XCSDL DC'!#REF!</f>
        <v>#REF!</v>
      </c>
    </row>
    <row r="183" spans="1:53" ht="24.75" customHeight="1">
      <c r="A183" s="601"/>
      <c r="B183" s="445">
        <v>5</v>
      </c>
      <c r="C183" s="445" t="s">
        <v>443</v>
      </c>
      <c r="D183" s="600">
        <v>5</v>
      </c>
      <c r="E183" s="601">
        <v>5</v>
      </c>
      <c r="F183" s="601">
        <v>1</v>
      </c>
      <c r="G183" s="602">
        <v>1</v>
      </c>
      <c r="H183" s="603"/>
      <c r="I183" s="603"/>
      <c r="J183" s="603">
        <v>24035</v>
      </c>
      <c r="K183" s="604">
        <v>24097</v>
      </c>
      <c r="L183" s="604">
        <v>24097</v>
      </c>
      <c r="M183" s="605">
        <f t="shared" si="93"/>
        <v>4807</v>
      </c>
      <c r="N183" s="604">
        <f t="shared" si="94"/>
        <v>19228</v>
      </c>
      <c r="O183" s="604">
        <f t="shared" si="95"/>
        <v>17170.603999999999</v>
      </c>
      <c r="P183" s="604">
        <f t="shared" si="96"/>
        <v>5203.4039999999986</v>
      </c>
      <c r="Q183" s="604">
        <f t="shared" si="97"/>
        <v>2057.3960000000006</v>
      </c>
      <c r="R183" s="604"/>
      <c r="S183" s="603">
        <v>14836</v>
      </c>
      <c r="T183" s="680">
        <f>S183*0.2</f>
        <v>2967.2000000000003</v>
      </c>
      <c r="U183" s="665">
        <v>9000</v>
      </c>
      <c r="V183" s="604">
        <f t="shared" si="98"/>
        <v>2868.7999999999993</v>
      </c>
      <c r="W183" s="604"/>
      <c r="X183" s="607">
        <f t="shared" si="71"/>
        <v>0.63911438508831664</v>
      </c>
      <c r="Y183" s="608">
        <f t="shared" si="99"/>
        <v>178032</v>
      </c>
      <c r="AA183" s="609">
        <f>D183*'Don gia XCSDL DC'!$K$8</f>
        <v>2306.3003738380767</v>
      </c>
      <c r="AB183" s="609">
        <f>D183*'Don gia XCSDL DC'!$K$9</f>
        <v>2200.491748838077</v>
      </c>
      <c r="AC183" s="609" t="e">
        <f>D183*'Don gia XCSDL DC'!#REF!</f>
        <v>#REF!</v>
      </c>
      <c r="AD183" s="609">
        <f>D183*'Don gia XCSDL DC'!$K$10</f>
        <v>8860.7787691811172</v>
      </c>
      <c r="AE183" s="609">
        <f>J183*'Don gia XCSDL DC'!$K$11</f>
        <v>0</v>
      </c>
      <c r="AF183" s="609" t="e">
        <f>S183*'Don gia XCSDL DC'!#REF!</f>
        <v>#REF!</v>
      </c>
      <c r="AG183" s="609" t="e">
        <f>D183*'Don gia XCSDL DC'!#REF!</f>
        <v>#REF!</v>
      </c>
      <c r="AH183" s="609" t="e">
        <f>J183*'Don gia XCSDL DC'!#REF!</f>
        <v>#REF!</v>
      </c>
      <c r="AI183" s="609" t="e">
        <f>D183*'Don gia XCSDL DC'!#REF!</f>
        <v>#REF!</v>
      </c>
      <c r="AJ183" s="609">
        <f>S183*2*'Don gia XCSDL DC'!$K$24</f>
        <v>253713045.24790353</v>
      </c>
      <c r="AK183" s="609" t="e">
        <f>S183*3*'Don gia XCSDL DC'!#REF!</f>
        <v>#REF!</v>
      </c>
      <c r="AL183" s="609" t="e">
        <f>(S183*2+S183*3)*('Don gia XCSDL DC'!#REF!+'Don gia XCSDL DC'!#REF!+'Don gia XCSDL DC'!#REF!)</f>
        <v>#REF!</v>
      </c>
      <c r="AM183" s="609" t="e">
        <f>O183*'Don gia XCSDL DC'!#REF!*50%</f>
        <v>#REF!</v>
      </c>
      <c r="AN183" s="609" t="e">
        <f>T183*'Don gia XCSDL DC'!#REF!*$AN$8</f>
        <v>#REF!</v>
      </c>
      <c r="AO183" s="609" t="e">
        <f>U183*'Don gia XCSDL DC'!#REF!*1</f>
        <v>#REF!</v>
      </c>
      <c r="AP183" s="609" t="e">
        <f>P183*X183*'Don gia XCSDL DC'!#REF!</f>
        <v>#REF!</v>
      </c>
      <c r="AQ183" s="609" t="e">
        <f>Q183*$AQ$8*'Don gia XCSDL DC'!#REF!</f>
        <v>#REF!</v>
      </c>
      <c r="AR183" s="609" t="e">
        <f>M183*$AR$8*'Don gia XCSDL DC'!#REF!</f>
        <v>#REF!</v>
      </c>
      <c r="AS183" s="609" t="e">
        <f>J183*'Don gia XCSDL DC'!#REF!</f>
        <v>#REF!</v>
      </c>
      <c r="AT183" s="609">
        <f>D183*'Don gia XCSDL DC'!$K$26</f>
        <v>0</v>
      </c>
      <c r="AU183" s="609">
        <f>J183*'Don gia XCSDL DC'!$K$34</f>
        <v>0</v>
      </c>
      <c r="AV183" s="609">
        <f>O183*'Don gia XCSDL DC'!$K$37</f>
        <v>0</v>
      </c>
      <c r="AW183" s="610" t="e">
        <f t="shared" si="80"/>
        <v>#REF!</v>
      </c>
      <c r="AX183" s="611" t="e">
        <f t="shared" si="81"/>
        <v>#REF!</v>
      </c>
      <c r="AY183" s="806" t="e">
        <f t="shared" si="78"/>
        <v>#REF!</v>
      </c>
      <c r="AZ183" s="612" t="e">
        <f>D183*'Don gia XCSDL DC'!#REF!</f>
        <v>#REF!</v>
      </c>
      <c r="BA183" s="613" t="e">
        <f>(Q183+M183)*'Don gia XCSDL DC'!#REF!</f>
        <v>#REF!</v>
      </c>
    </row>
    <row r="184" spans="1:53" ht="24.75" customHeight="1">
      <c r="A184" s="648"/>
      <c r="B184" s="445">
        <v>6</v>
      </c>
      <c r="C184" s="445" t="s">
        <v>444</v>
      </c>
      <c r="D184" s="600">
        <v>22</v>
      </c>
      <c r="E184" s="601">
        <v>22</v>
      </c>
      <c r="F184" s="601">
        <v>1</v>
      </c>
      <c r="G184" s="602">
        <v>1</v>
      </c>
      <c r="H184" s="603"/>
      <c r="I184" s="603"/>
      <c r="J184" s="604">
        <v>197954</v>
      </c>
      <c r="K184" s="604">
        <v>201450</v>
      </c>
      <c r="L184" s="604">
        <f>69760/4*6+20000</f>
        <v>124640</v>
      </c>
      <c r="M184" s="605">
        <f t="shared" si="93"/>
        <v>39590.800000000003</v>
      </c>
      <c r="N184" s="604">
        <f t="shared" si="94"/>
        <v>158363.20000000001</v>
      </c>
      <c r="O184" s="604">
        <f t="shared" si="95"/>
        <v>141418.3376</v>
      </c>
      <c r="P184" s="604">
        <f t="shared" si="96"/>
        <v>97814.727600000013</v>
      </c>
      <c r="Q184" s="604">
        <f t="shared" si="97"/>
        <v>16944.862400000013</v>
      </c>
      <c r="R184" s="604"/>
      <c r="S184" s="603">
        <v>104761</v>
      </c>
      <c r="T184" s="675">
        <f>S184*0.01</f>
        <v>1047.6100000000001</v>
      </c>
      <c r="U184" s="670">
        <v>42556</v>
      </c>
      <c r="V184" s="603">
        <f t="shared" si="98"/>
        <v>61157.39</v>
      </c>
      <c r="W184" s="603"/>
      <c r="X184" s="607">
        <f t="shared" si="71"/>
        <v>0.69856022163378539</v>
      </c>
      <c r="Y184" s="608">
        <f t="shared" si="99"/>
        <v>1257132</v>
      </c>
      <c r="AA184" s="609">
        <f>D184*'Don gia XCSDL DC'!$K$8</f>
        <v>10147.721644887539</v>
      </c>
      <c r="AB184" s="609">
        <f>D184*'Don gia XCSDL DC'!$K$9</f>
        <v>9682.1636948875403</v>
      </c>
      <c r="AC184" s="609" t="e">
        <f>D184*'Don gia XCSDL DC'!#REF!</f>
        <v>#REF!</v>
      </c>
      <c r="AD184" s="609">
        <f>D184*'Don gia XCSDL DC'!$K$10</f>
        <v>38987.426584396911</v>
      </c>
      <c r="AE184" s="609">
        <f>J184*'Don gia XCSDL DC'!$K$11</f>
        <v>0</v>
      </c>
      <c r="AF184" s="609" t="e">
        <f>S184*'Don gia XCSDL DC'!#REF!</f>
        <v>#REF!</v>
      </c>
      <c r="AG184" s="609" t="e">
        <f>D184*'Don gia XCSDL DC'!#REF!</f>
        <v>#REF!</v>
      </c>
      <c r="AH184" s="609" t="e">
        <f>J184*'Don gia XCSDL DC'!#REF!</f>
        <v>#REF!</v>
      </c>
      <c r="AI184" s="609" t="e">
        <f>D184*'Don gia XCSDL DC'!#REF!</f>
        <v>#REF!</v>
      </c>
      <c r="AJ184" s="609">
        <f>S184*2*'Don gia XCSDL DC'!$K$24</f>
        <v>1791536285.603641</v>
      </c>
      <c r="AK184" s="609" t="e">
        <f>S184*3*'Don gia XCSDL DC'!#REF!</f>
        <v>#REF!</v>
      </c>
      <c r="AL184" s="609" t="e">
        <f>(S184*2+S184*3)*('Don gia XCSDL DC'!#REF!+'Don gia XCSDL DC'!#REF!+'Don gia XCSDL DC'!#REF!)</f>
        <v>#REF!</v>
      </c>
      <c r="AM184" s="609" t="e">
        <f>O184*'Don gia XCSDL DC'!#REF!*50%</f>
        <v>#REF!</v>
      </c>
      <c r="AN184" s="609" t="e">
        <f>T184*'Don gia XCSDL DC'!#REF!*$AN$8</f>
        <v>#REF!</v>
      </c>
      <c r="AO184" s="609" t="e">
        <f>U184*'Don gia XCSDL DC'!#REF!*1</f>
        <v>#REF!</v>
      </c>
      <c r="AP184" s="609" t="e">
        <f>P184*X184*'Don gia XCSDL DC'!#REF!</f>
        <v>#REF!</v>
      </c>
      <c r="AQ184" s="609" t="e">
        <f>Q184*$AQ$8*'Don gia XCSDL DC'!#REF!</f>
        <v>#REF!</v>
      </c>
      <c r="AR184" s="609" t="e">
        <f>M184*$AR$8*'Don gia XCSDL DC'!#REF!</f>
        <v>#REF!</v>
      </c>
      <c r="AS184" s="609" t="e">
        <f>J184*'Don gia XCSDL DC'!#REF!</f>
        <v>#REF!</v>
      </c>
      <c r="AT184" s="609">
        <f>D184*'Don gia XCSDL DC'!$K$26</f>
        <v>0</v>
      </c>
      <c r="AU184" s="609">
        <f>J184*'Don gia XCSDL DC'!$K$34</f>
        <v>0</v>
      </c>
      <c r="AV184" s="609">
        <f>O184*'Don gia XCSDL DC'!$K$37</f>
        <v>0</v>
      </c>
      <c r="AW184" s="610" t="e">
        <f t="shared" si="80"/>
        <v>#REF!</v>
      </c>
      <c r="AX184" s="611" t="e">
        <f t="shared" si="81"/>
        <v>#REF!</v>
      </c>
      <c r="AY184" s="806" t="e">
        <f t="shared" si="78"/>
        <v>#REF!</v>
      </c>
      <c r="AZ184" s="612" t="e">
        <f>D184*'Don gia XCSDL DC'!#REF!</f>
        <v>#REF!</v>
      </c>
      <c r="BA184" s="613" t="e">
        <f>(Q184+M184)*'Don gia XCSDL DC'!#REF!</f>
        <v>#REF!</v>
      </c>
    </row>
    <row r="185" spans="1:53" ht="24.75" customHeight="1">
      <c r="A185" s="601"/>
      <c r="B185" s="445">
        <v>7</v>
      </c>
      <c r="C185" s="445" t="s">
        <v>445</v>
      </c>
      <c r="D185" s="600">
        <v>14</v>
      </c>
      <c r="E185" s="601">
        <v>14</v>
      </c>
      <c r="F185" s="601">
        <v>1</v>
      </c>
      <c r="G185" s="602">
        <v>1</v>
      </c>
      <c r="H185" s="603"/>
      <c r="I185" s="603"/>
      <c r="J185" s="603">
        <v>48766</v>
      </c>
      <c r="K185" s="604"/>
      <c r="L185" s="604">
        <f>32930/4*6+5000</f>
        <v>54395</v>
      </c>
      <c r="M185" s="605">
        <f t="shared" si="93"/>
        <v>9753.2000000000007</v>
      </c>
      <c r="N185" s="604">
        <f t="shared" si="94"/>
        <v>39012.800000000003</v>
      </c>
      <c r="O185" s="604">
        <f t="shared" si="95"/>
        <v>34838.430400000005</v>
      </c>
      <c r="P185" s="604">
        <f t="shared" si="96"/>
        <v>8330.0304000000033</v>
      </c>
      <c r="Q185" s="604">
        <f t="shared" si="97"/>
        <v>4174.3695999999982</v>
      </c>
      <c r="R185" s="604"/>
      <c r="S185" s="603">
        <v>30168</v>
      </c>
      <c r="T185" s="680">
        <f>S185*0.05</f>
        <v>1508.4</v>
      </c>
      <c r="U185" s="665">
        <v>25000</v>
      </c>
      <c r="V185" s="604">
        <f t="shared" si="98"/>
        <v>3659.5999999999985</v>
      </c>
      <c r="W185" s="604"/>
      <c r="X185" s="607">
        <f t="shared" si="71"/>
        <v>0.54902318974364872</v>
      </c>
      <c r="Y185" s="608">
        <f t="shared" si="99"/>
        <v>362016</v>
      </c>
      <c r="AA185" s="609">
        <f>D185*'Don gia XCSDL DC'!$K$8</f>
        <v>6457.6410467466158</v>
      </c>
      <c r="AB185" s="609">
        <f>D185*'Don gia XCSDL DC'!$K$9</f>
        <v>6161.3768967466167</v>
      </c>
      <c r="AC185" s="609" t="e">
        <f>D185*'Don gia XCSDL DC'!#REF!</f>
        <v>#REF!</v>
      </c>
      <c r="AD185" s="609">
        <f>D185*'Don gia XCSDL DC'!$K$10</f>
        <v>24810.180553707127</v>
      </c>
      <c r="AE185" s="609">
        <f>J185*'Don gia XCSDL DC'!$K$11</f>
        <v>0</v>
      </c>
      <c r="AF185" s="609" t="e">
        <f>S185*'Don gia XCSDL DC'!#REF!</f>
        <v>#REF!</v>
      </c>
      <c r="AG185" s="609" t="e">
        <f>D185*'Don gia XCSDL DC'!#REF!</f>
        <v>#REF!</v>
      </c>
      <c r="AH185" s="609" t="e">
        <f>J185*'Don gia XCSDL DC'!#REF!</f>
        <v>#REF!</v>
      </c>
      <c r="AI185" s="609" t="e">
        <f>D185*'Don gia XCSDL DC'!#REF!</f>
        <v>#REF!</v>
      </c>
      <c r="AJ185" s="609">
        <f>S185*2*'Don gia XCSDL DC'!$K$24</f>
        <v>515908273.72868383</v>
      </c>
      <c r="AK185" s="609" t="e">
        <f>S185*3*'Don gia XCSDL DC'!#REF!</f>
        <v>#REF!</v>
      </c>
      <c r="AL185" s="609" t="e">
        <f>(S185*2+S185*3)*('Don gia XCSDL DC'!#REF!+'Don gia XCSDL DC'!#REF!+'Don gia XCSDL DC'!#REF!)</f>
        <v>#REF!</v>
      </c>
      <c r="AM185" s="609" t="e">
        <f>O185*'Don gia XCSDL DC'!#REF!*50%</f>
        <v>#REF!</v>
      </c>
      <c r="AN185" s="609" t="e">
        <f>T185*'Don gia XCSDL DC'!#REF!*$AN$8</f>
        <v>#REF!</v>
      </c>
      <c r="AO185" s="609" t="e">
        <f>U185*'Don gia XCSDL DC'!#REF!*1</f>
        <v>#REF!</v>
      </c>
      <c r="AP185" s="609" t="e">
        <f>P185*X185*'Don gia XCSDL DC'!#REF!</f>
        <v>#REF!</v>
      </c>
      <c r="AQ185" s="609" t="e">
        <f>Q185*$AQ$8*'Don gia XCSDL DC'!#REF!</f>
        <v>#REF!</v>
      </c>
      <c r="AR185" s="609" t="e">
        <f>M185*$AR$8*'Don gia XCSDL DC'!#REF!</f>
        <v>#REF!</v>
      </c>
      <c r="AS185" s="609" t="e">
        <f>J185*'Don gia XCSDL DC'!#REF!</f>
        <v>#REF!</v>
      </c>
      <c r="AT185" s="609">
        <f>D185*'Don gia XCSDL DC'!$K$26</f>
        <v>0</v>
      </c>
      <c r="AU185" s="609">
        <f>J185*'Don gia XCSDL DC'!$K$34</f>
        <v>0</v>
      </c>
      <c r="AV185" s="609">
        <f>O185*'Don gia XCSDL DC'!$K$37</f>
        <v>0</v>
      </c>
      <c r="AW185" s="610" t="e">
        <f t="shared" si="80"/>
        <v>#REF!</v>
      </c>
      <c r="AX185" s="611" t="e">
        <f t="shared" si="81"/>
        <v>#REF!</v>
      </c>
      <c r="AY185" s="806" t="e">
        <f t="shared" si="78"/>
        <v>#REF!</v>
      </c>
      <c r="AZ185" s="612" t="e">
        <f>D185*'Don gia XCSDL DC'!#REF!</f>
        <v>#REF!</v>
      </c>
      <c r="BA185" s="613" t="e">
        <f>(Q185+M185)*'Don gia XCSDL DC'!#REF!</f>
        <v>#REF!</v>
      </c>
    </row>
    <row r="186" spans="1:53" s="723" customFormat="1" ht="24.75" customHeight="1">
      <c r="A186" s="712"/>
      <c r="B186" s="713"/>
      <c r="C186" s="713" t="s">
        <v>446</v>
      </c>
      <c r="D186" s="714">
        <v>19</v>
      </c>
      <c r="E186" s="715">
        <v>19</v>
      </c>
      <c r="F186" s="715"/>
      <c r="G186" s="715">
        <v>1</v>
      </c>
      <c r="H186" s="715"/>
      <c r="I186" s="715"/>
      <c r="J186" s="718">
        <v>196478</v>
      </c>
      <c r="K186" s="716"/>
      <c r="L186" s="734">
        <v>196478</v>
      </c>
      <c r="M186" s="719"/>
      <c r="N186" s="718"/>
      <c r="O186" s="718"/>
      <c r="P186" s="718"/>
      <c r="Q186" s="718"/>
      <c r="R186" s="718"/>
      <c r="S186" s="718"/>
      <c r="T186" s="718"/>
      <c r="U186" s="730"/>
      <c r="V186" s="718"/>
      <c r="W186" s="718"/>
      <c r="X186" s="721"/>
      <c r="Y186" s="722"/>
      <c r="AA186" s="609"/>
      <c r="AB186" s="609"/>
      <c r="AC186" s="609"/>
      <c r="AD186" s="724"/>
      <c r="AE186" s="724"/>
      <c r="AF186" s="724"/>
      <c r="AG186" s="724"/>
      <c r="AH186" s="724"/>
      <c r="AI186" s="724"/>
      <c r="AJ186" s="724"/>
      <c r="AK186" s="724"/>
      <c r="AL186" s="724"/>
      <c r="AM186" s="724"/>
      <c r="AN186" s="724"/>
      <c r="AO186" s="724"/>
      <c r="AP186" s="724"/>
      <c r="AQ186" s="724"/>
      <c r="AR186" s="724"/>
      <c r="AS186" s="724"/>
      <c r="AT186" s="724"/>
      <c r="AU186" s="724"/>
      <c r="AV186" s="609"/>
      <c r="AW186" s="610"/>
      <c r="AX186" s="611"/>
      <c r="AY186" s="807"/>
      <c r="AZ186" s="612"/>
      <c r="BA186" s="613"/>
    </row>
    <row r="187" spans="1:53" s="723" customFormat="1" ht="24.75" customHeight="1">
      <c r="A187" s="712"/>
      <c r="B187" s="713"/>
      <c r="C187" s="713" t="s">
        <v>447</v>
      </c>
      <c r="D187" s="714">
        <v>20</v>
      </c>
      <c r="E187" s="715">
        <v>20</v>
      </c>
      <c r="F187" s="715"/>
      <c r="G187" s="715">
        <v>1</v>
      </c>
      <c r="H187" s="715"/>
      <c r="I187" s="715"/>
      <c r="J187" s="715">
        <v>194432</v>
      </c>
      <c r="K187" s="716"/>
      <c r="L187" s="734"/>
      <c r="M187" s="719"/>
      <c r="N187" s="718"/>
      <c r="O187" s="718"/>
      <c r="P187" s="718"/>
      <c r="Q187" s="718"/>
      <c r="R187" s="718"/>
      <c r="S187" s="718"/>
      <c r="T187" s="718"/>
      <c r="U187" s="730"/>
      <c r="V187" s="718"/>
      <c r="W187" s="718"/>
      <c r="X187" s="721"/>
      <c r="Y187" s="722"/>
      <c r="AA187" s="609"/>
      <c r="AB187" s="609"/>
      <c r="AC187" s="609"/>
      <c r="AD187" s="724"/>
      <c r="AE187" s="724"/>
      <c r="AF187" s="724"/>
      <c r="AG187" s="724"/>
      <c r="AH187" s="724"/>
      <c r="AI187" s="724"/>
      <c r="AJ187" s="724"/>
      <c r="AK187" s="724"/>
      <c r="AL187" s="724"/>
      <c r="AM187" s="724"/>
      <c r="AN187" s="724"/>
      <c r="AO187" s="724"/>
      <c r="AP187" s="724"/>
      <c r="AQ187" s="724"/>
      <c r="AR187" s="724"/>
      <c r="AS187" s="724"/>
      <c r="AT187" s="724"/>
      <c r="AU187" s="724"/>
      <c r="AV187" s="609"/>
      <c r="AW187" s="610"/>
      <c r="AX187" s="611"/>
      <c r="AY187" s="807"/>
      <c r="AZ187" s="612"/>
      <c r="BA187" s="613"/>
    </row>
    <row r="188" spans="1:53" s="723" customFormat="1" ht="24.75" customHeight="1">
      <c r="A188" s="712"/>
      <c r="B188" s="713"/>
      <c r="C188" s="713"/>
      <c r="D188" s="714"/>
      <c r="E188" s="715"/>
      <c r="F188" s="715"/>
      <c r="G188" s="774"/>
      <c r="H188" s="715"/>
      <c r="I188" s="715"/>
      <c r="J188" s="715"/>
      <c r="K188" s="716"/>
      <c r="L188" s="734"/>
      <c r="M188" s="719"/>
      <c r="N188" s="718"/>
      <c r="O188" s="718"/>
      <c r="P188" s="718"/>
      <c r="Q188" s="718"/>
      <c r="R188" s="718"/>
      <c r="S188" s="718"/>
      <c r="T188" s="718"/>
      <c r="U188" s="730"/>
      <c r="V188" s="718"/>
      <c r="W188" s="718"/>
      <c r="X188" s="721"/>
      <c r="Y188" s="722"/>
      <c r="AA188" s="609"/>
      <c r="AB188" s="609"/>
      <c r="AC188" s="609"/>
      <c r="AD188" s="724"/>
      <c r="AE188" s="724"/>
      <c r="AF188" s="724"/>
      <c r="AG188" s="724"/>
      <c r="AH188" s="724"/>
      <c r="AI188" s="724"/>
      <c r="AJ188" s="724"/>
      <c r="AK188" s="724"/>
      <c r="AL188" s="724"/>
      <c r="AM188" s="724"/>
      <c r="AN188" s="724"/>
      <c r="AO188" s="724"/>
      <c r="AP188" s="724"/>
      <c r="AQ188" s="724"/>
      <c r="AR188" s="724"/>
      <c r="AS188" s="724"/>
      <c r="AT188" s="724"/>
      <c r="AU188" s="724"/>
      <c r="AV188" s="609"/>
      <c r="AW188" s="610"/>
      <c r="AX188" s="611"/>
      <c r="AY188" s="807"/>
      <c r="AZ188" s="612"/>
      <c r="BA188" s="613"/>
    </row>
    <row r="189" spans="1:53" s="598" customFormat="1" ht="24.75" customHeight="1">
      <c r="A189" s="589">
        <v>5</v>
      </c>
      <c r="B189" s="1945" t="s">
        <v>448</v>
      </c>
      <c r="C189" s="1945"/>
      <c r="D189" s="594"/>
      <c r="E189" s="595">
        <f>SUM(E190:E196)</f>
        <v>121</v>
      </c>
      <c r="F189" s="595">
        <f>SUM(F190:F196)</f>
        <v>7</v>
      </c>
      <c r="G189" s="596">
        <f>SUM(G190:G198)</f>
        <v>9</v>
      </c>
      <c r="H189" s="595">
        <v>9</v>
      </c>
      <c r="I189" s="595"/>
      <c r="J189" s="595">
        <f t="shared" ref="J189:Q189" si="100">SUM(J190:J196)</f>
        <v>915718.5</v>
      </c>
      <c r="K189" s="595">
        <f t="shared" si="100"/>
        <v>621298</v>
      </c>
      <c r="L189" s="595">
        <f t="shared" si="100"/>
        <v>855718.5</v>
      </c>
      <c r="M189" s="595">
        <f t="shared" si="100"/>
        <v>91571.85000000002</v>
      </c>
      <c r="N189" s="595">
        <f t="shared" si="100"/>
        <v>824146.64999999991</v>
      </c>
      <c r="O189" s="595">
        <f t="shared" si="100"/>
        <v>787060.05074999994</v>
      </c>
      <c r="P189" s="595">
        <f t="shared" si="100"/>
        <v>475595.86074999999</v>
      </c>
      <c r="Q189" s="595">
        <f t="shared" si="100"/>
        <v>37086.599250000014</v>
      </c>
      <c r="R189" s="595"/>
      <c r="S189" s="595">
        <f>SUM(S190:S196)</f>
        <v>485828.8</v>
      </c>
      <c r="T189" s="595">
        <f>SUM(T190:T196)</f>
        <v>39446.589999999997</v>
      </c>
      <c r="U189" s="595">
        <f>SUM(U190:U196)</f>
        <v>272017.59999999998</v>
      </c>
      <c r="V189" s="595">
        <f>SUM(V190:V196)</f>
        <v>174364.61000000002</v>
      </c>
      <c r="W189" s="597">
        <v>0.95499999999999996</v>
      </c>
      <c r="X189" s="607">
        <f t="shared" si="71"/>
        <v>0.49054497381847251</v>
      </c>
      <c r="Y189" s="595">
        <f>SUM(Y190:Y196)</f>
        <v>5829945.5999999996</v>
      </c>
      <c r="AA189" s="609"/>
      <c r="AB189" s="609"/>
      <c r="AC189" s="609"/>
      <c r="AD189" s="609"/>
      <c r="AE189" s="609"/>
      <c r="AF189" s="609"/>
      <c r="AG189" s="609"/>
      <c r="AH189" s="609"/>
      <c r="AI189" s="609"/>
      <c r="AJ189" s="609"/>
      <c r="AK189" s="609"/>
      <c r="AL189" s="609"/>
      <c r="AM189" s="609"/>
      <c r="AN189" s="609"/>
      <c r="AO189" s="609"/>
      <c r="AP189" s="609"/>
      <c r="AQ189" s="609"/>
      <c r="AR189" s="609"/>
      <c r="AS189" s="609"/>
      <c r="AT189" s="609"/>
      <c r="AU189" s="609"/>
      <c r="AV189" s="609"/>
      <c r="AW189" s="610"/>
      <c r="AX189" s="611"/>
      <c r="AY189" s="806"/>
      <c r="AZ189" s="612"/>
      <c r="BA189" s="613"/>
    </row>
    <row r="190" spans="1:53" ht="24.75" customHeight="1">
      <c r="A190" s="626"/>
      <c r="B190" s="445">
        <v>1</v>
      </c>
      <c r="C190" s="445" t="s">
        <v>449</v>
      </c>
      <c r="D190" s="600">
        <v>16</v>
      </c>
      <c r="E190" s="558">
        <v>16</v>
      </c>
      <c r="F190" s="601">
        <v>1</v>
      </c>
      <c r="G190" s="602">
        <v>1</v>
      </c>
      <c r="H190" s="601"/>
      <c r="I190" s="601"/>
      <c r="J190" s="604">
        <v>180794</v>
      </c>
      <c r="K190" s="604">
        <v>180794</v>
      </c>
      <c r="L190" s="604">
        <v>180794</v>
      </c>
      <c r="M190" s="605">
        <f t="shared" ref="M190:M196" si="101">J190*10%</f>
        <v>18079.400000000001</v>
      </c>
      <c r="N190" s="604">
        <f t="shared" ref="N190:N196" si="102">J190-M190</f>
        <v>162714.6</v>
      </c>
      <c r="O190" s="604">
        <f t="shared" ref="O190:O196" si="103">$N190*$W$189</f>
        <v>155392.443</v>
      </c>
      <c r="P190" s="604">
        <f t="shared" ref="P190:P196" si="104">O190-T190-U190</f>
        <v>94684.603000000003</v>
      </c>
      <c r="Q190" s="604">
        <f t="shared" ref="Q190:Q196" si="105">N190-O190</f>
        <v>7322.1570000000065</v>
      </c>
      <c r="R190" s="604"/>
      <c r="S190" s="604">
        <f>133671*0.8</f>
        <v>106936.8</v>
      </c>
      <c r="T190" s="604">
        <f>S190*0.05</f>
        <v>5346.84</v>
      </c>
      <c r="U190" s="665">
        <v>55361</v>
      </c>
      <c r="V190" s="604">
        <f t="shared" ref="V190:V196" si="106">S190-T190-U190</f>
        <v>46228.960000000006</v>
      </c>
      <c r="W190" s="604"/>
      <c r="X190" s="607">
        <f t="shared" si="71"/>
        <v>0.58836822594381422</v>
      </c>
      <c r="Y190" s="608">
        <f t="shared" ref="Y190:Y196" si="107">S190*12</f>
        <v>1283241.6000000001</v>
      </c>
      <c r="AA190" s="609">
        <f>D190*'Don gia XCSDL DC'!$K$8</f>
        <v>7380.1611962818461</v>
      </c>
      <c r="AB190" s="609">
        <f>D190*'Don gia XCSDL DC'!$K$9</f>
        <v>7041.5735962818471</v>
      </c>
      <c r="AC190" s="609" t="e">
        <f>D190*'Don gia XCSDL DC'!#REF!</f>
        <v>#REF!</v>
      </c>
      <c r="AD190" s="609">
        <f>D190*'Don gia XCSDL DC'!$K$10</f>
        <v>28354.492061379573</v>
      </c>
      <c r="AE190" s="609">
        <f>J190*'Don gia XCSDL DC'!$K$11</f>
        <v>0</v>
      </c>
      <c r="AF190" s="609" t="e">
        <f>S190*'Don gia XCSDL DC'!#REF!</f>
        <v>#REF!</v>
      </c>
      <c r="AG190" s="609" t="e">
        <f>D190*'Don gia XCSDL DC'!#REF!</f>
        <v>#REF!</v>
      </c>
      <c r="AH190" s="609" t="e">
        <f>J190*'Don gia XCSDL DC'!#REF!</f>
        <v>#REF!</v>
      </c>
      <c r="AI190" s="609" t="e">
        <f>D190*'Don gia XCSDL DC'!#REF!</f>
        <v>#REF!</v>
      </c>
      <c r="AJ190" s="609">
        <f>S190*2*'Don gia XCSDL DC'!$K$24</f>
        <v>1828745024.067539</v>
      </c>
      <c r="AK190" s="609" t="e">
        <f>S190*3*'Don gia XCSDL DC'!#REF!</f>
        <v>#REF!</v>
      </c>
      <c r="AL190" s="609" t="e">
        <f>(S190*2+S190*3)*('Don gia XCSDL DC'!#REF!+'Don gia XCSDL DC'!#REF!+'Don gia XCSDL DC'!#REF!)</f>
        <v>#REF!</v>
      </c>
      <c r="AM190" s="609" t="e">
        <f>O190*'Don gia XCSDL DC'!#REF!*50%</f>
        <v>#REF!</v>
      </c>
      <c r="AN190" s="609" t="e">
        <f>T190*'Don gia XCSDL DC'!#REF!*$AN$8</f>
        <v>#REF!</v>
      </c>
      <c r="AO190" s="609" t="e">
        <f>U190*'Don gia XCSDL DC'!#REF!*1</f>
        <v>#REF!</v>
      </c>
      <c r="AP190" s="609" t="e">
        <f>P190*X190*'Don gia XCSDL DC'!#REF!</f>
        <v>#REF!</v>
      </c>
      <c r="AQ190" s="609" t="e">
        <f>Q190*$AQ$8*'Don gia XCSDL DC'!#REF!</f>
        <v>#REF!</v>
      </c>
      <c r="AR190" s="609" t="e">
        <f>M190*$AR$8*'Don gia XCSDL DC'!#REF!</f>
        <v>#REF!</v>
      </c>
      <c r="AS190" s="609" t="e">
        <f>J190*'Don gia XCSDL DC'!#REF!</f>
        <v>#REF!</v>
      </c>
      <c r="AT190" s="609">
        <f>D190*'Don gia XCSDL DC'!$K$26</f>
        <v>0</v>
      </c>
      <c r="AU190" s="609">
        <f>J190*'Don gia XCSDL DC'!$K$34</f>
        <v>0</v>
      </c>
      <c r="AV190" s="609">
        <f>O190*'Don gia XCSDL DC'!$K$37</f>
        <v>0</v>
      </c>
      <c r="AW190" s="610" t="e">
        <f t="shared" si="80"/>
        <v>#REF!</v>
      </c>
      <c r="AX190" s="611" t="e">
        <f t="shared" si="81"/>
        <v>#REF!</v>
      </c>
      <c r="AY190" s="806" t="e">
        <f t="shared" si="78"/>
        <v>#REF!</v>
      </c>
      <c r="AZ190" s="612" t="e">
        <f>D190*'Don gia XCSDL DC'!#REF!</f>
        <v>#REF!</v>
      </c>
      <c r="BA190" s="613" t="e">
        <f>(Q190+M190)*'Don gia XCSDL DC'!#REF!</f>
        <v>#REF!</v>
      </c>
    </row>
    <row r="191" spans="1:53" ht="24.75" customHeight="1">
      <c r="A191" s="626"/>
      <c r="B191" s="445">
        <v>2</v>
      </c>
      <c r="C191" s="445" t="s">
        <v>450</v>
      </c>
      <c r="D191" s="600">
        <v>11</v>
      </c>
      <c r="E191" s="558">
        <v>11</v>
      </c>
      <c r="F191" s="601">
        <v>1</v>
      </c>
      <c r="G191" s="602">
        <v>1</v>
      </c>
      <c r="H191" s="601"/>
      <c r="I191" s="601"/>
      <c r="J191" s="604">
        <v>81478</v>
      </c>
      <c r="K191" s="604">
        <v>81478</v>
      </c>
      <c r="L191" s="604">
        <v>81478</v>
      </c>
      <c r="M191" s="605">
        <f t="shared" si="101"/>
        <v>8147.8</v>
      </c>
      <c r="N191" s="604">
        <f t="shared" si="102"/>
        <v>73330.2</v>
      </c>
      <c r="O191" s="604">
        <f t="shared" si="103"/>
        <v>70030.341</v>
      </c>
      <c r="P191" s="604">
        <f t="shared" si="104"/>
        <v>49327.590999999993</v>
      </c>
      <c r="Q191" s="604">
        <f t="shared" si="105"/>
        <v>3299.8589999999967</v>
      </c>
      <c r="R191" s="604"/>
      <c r="S191" s="604">
        <v>39157</v>
      </c>
      <c r="T191" s="604">
        <f>S191*0.05</f>
        <v>1957.8500000000001</v>
      </c>
      <c r="U191" s="665">
        <f>82811/4-T191</f>
        <v>18744.900000000001</v>
      </c>
      <c r="V191" s="604">
        <f t="shared" si="106"/>
        <v>18454.25</v>
      </c>
      <c r="W191" s="604"/>
      <c r="X191" s="607">
        <f t="shared" si="71"/>
        <v>0.49657171141012535</v>
      </c>
      <c r="Y191" s="608">
        <f t="shared" si="107"/>
        <v>469884</v>
      </c>
      <c r="AA191" s="609">
        <f>D191*'Don gia XCSDL DC'!$K$8</f>
        <v>5073.8608224437694</v>
      </c>
      <c r="AB191" s="609">
        <f>D191*'Don gia XCSDL DC'!$K$9</f>
        <v>4841.0818474437701</v>
      </c>
      <c r="AC191" s="609" t="e">
        <f>D191*'Don gia XCSDL DC'!#REF!</f>
        <v>#REF!</v>
      </c>
      <c r="AD191" s="609">
        <f>D191*'Don gia XCSDL DC'!$K$10</f>
        <v>19493.713292198456</v>
      </c>
      <c r="AE191" s="609">
        <f>J191*'Don gia XCSDL DC'!$K$11</f>
        <v>0</v>
      </c>
      <c r="AF191" s="609" t="e">
        <f>S191*'Don gia XCSDL DC'!#REF!</f>
        <v>#REF!</v>
      </c>
      <c r="AG191" s="609" t="e">
        <f>D191*'Don gia XCSDL DC'!#REF!</f>
        <v>#REF!</v>
      </c>
      <c r="AH191" s="609" t="e">
        <f>J191*'Don gia XCSDL DC'!#REF!</f>
        <v>#REF!</v>
      </c>
      <c r="AI191" s="609" t="e">
        <f>D191*'Don gia XCSDL DC'!#REF!</f>
        <v>#REF!</v>
      </c>
      <c r="AJ191" s="609">
        <f>S191*2*'Don gia XCSDL DC'!$K$24</f>
        <v>669630743.64870298</v>
      </c>
      <c r="AK191" s="609" t="e">
        <f>S191*3*'Don gia XCSDL DC'!#REF!</f>
        <v>#REF!</v>
      </c>
      <c r="AL191" s="609" t="e">
        <f>(S191*2+S191*3)*('Don gia XCSDL DC'!#REF!+'Don gia XCSDL DC'!#REF!+'Don gia XCSDL DC'!#REF!)</f>
        <v>#REF!</v>
      </c>
      <c r="AM191" s="609" t="e">
        <f>O191*'Don gia XCSDL DC'!#REF!*50%</f>
        <v>#REF!</v>
      </c>
      <c r="AN191" s="609" t="e">
        <f>T191*'Don gia XCSDL DC'!#REF!*$AN$8</f>
        <v>#REF!</v>
      </c>
      <c r="AO191" s="609" t="e">
        <f>U191*'Don gia XCSDL DC'!#REF!*1</f>
        <v>#REF!</v>
      </c>
      <c r="AP191" s="609" t="e">
        <f>P191*X191*'Don gia XCSDL DC'!#REF!</f>
        <v>#REF!</v>
      </c>
      <c r="AQ191" s="609" t="e">
        <f>Q191*$AQ$8*'Don gia XCSDL DC'!#REF!</f>
        <v>#REF!</v>
      </c>
      <c r="AR191" s="609" t="e">
        <f>M191*$AR$8*'Don gia XCSDL DC'!#REF!</f>
        <v>#REF!</v>
      </c>
      <c r="AS191" s="609" t="e">
        <f>J191*'Don gia XCSDL DC'!#REF!</f>
        <v>#REF!</v>
      </c>
      <c r="AT191" s="609">
        <f>D191*'Don gia XCSDL DC'!$K$26</f>
        <v>0</v>
      </c>
      <c r="AU191" s="609">
        <f>J191*'Don gia XCSDL DC'!$K$34</f>
        <v>0</v>
      </c>
      <c r="AV191" s="609">
        <f>O191*'Don gia XCSDL DC'!$K$37</f>
        <v>0</v>
      </c>
      <c r="AW191" s="610" t="e">
        <f t="shared" si="80"/>
        <v>#REF!</v>
      </c>
      <c r="AX191" s="611" t="e">
        <f t="shared" si="81"/>
        <v>#REF!</v>
      </c>
      <c r="AY191" s="806" t="e">
        <f t="shared" si="78"/>
        <v>#REF!</v>
      </c>
      <c r="AZ191" s="612" t="e">
        <f>D191*'Don gia XCSDL DC'!#REF!</f>
        <v>#REF!</v>
      </c>
      <c r="BA191" s="613" t="e">
        <f>(Q191+M191)*'Don gia XCSDL DC'!#REF!</f>
        <v>#REF!</v>
      </c>
    </row>
    <row r="192" spans="1:53" ht="24.75" customHeight="1">
      <c r="A192" s="626"/>
      <c r="B192" s="445">
        <v>3</v>
      </c>
      <c r="C192" s="445" t="s">
        <v>451</v>
      </c>
      <c r="D192" s="600">
        <v>16</v>
      </c>
      <c r="E192" s="558">
        <v>16</v>
      </c>
      <c r="F192" s="601">
        <v>1</v>
      </c>
      <c r="G192" s="602">
        <v>1</v>
      </c>
      <c r="H192" s="601"/>
      <c r="I192" s="601"/>
      <c r="J192" s="604">
        <v>118977</v>
      </c>
      <c r="K192" s="604">
        <v>118977</v>
      </c>
      <c r="L192" s="604">
        <v>118977</v>
      </c>
      <c r="M192" s="605">
        <f t="shared" si="101"/>
        <v>11897.7</v>
      </c>
      <c r="N192" s="604">
        <f t="shared" si="102"/>
        <v>107079.3</v>
      </c>
      <c r="O192" s="604">
        <f t="shared" si="103"/>
        <v>102260.73149999999</v>
      </c>
      <c r="P192" s="604">
        <f t="shared" si="104"/>
        <v>43083.731499999994</v>
      </c>
      <c r="Q192" s="604">
        <f t="shared" si="105"/>
        <v>4818.5685000000085</v>
      </c>
      <c r="R192" s="604"/>
      <c r="S192" s="604">
        <v>79615</v>
      </c>
      <c r="T192" s="604">
        <f>S192*0.1</f>
        <v>7961.5</v>
      </c>
      <c r="U192" s="665">
        <f>118354/2-T192</f>
        <v>51215.5</v>
      </c>
      <c r="V192" s="604">
        <f t="shared" si="106"/>
        <v>20438</v>
      </c>
      <c r="W192" s="604"/>
      <c r="X192" s="607">
        <f t="shared" si="71"/>
        <v>0.5772175652386583</v>
      </c>
      <c r="Y192" s="608">
        <f t="shared" si="107"/>
        <v>955380</v>
      </c>
      <c r="AA192" s="609">
        <f>D192*'Don gia XCSDL DC'!$K$8</f>
        <v>7380.1611962818461</v>
      </c>
      <c r="AB192" s="609">
        <f>D192*'Don gia XCSDL DC'!$K$9</f>
        <v>7041.5735962818471</v>
      </c>
      <c r="AC192" s="609" t="e">
        <f>D192*'Don gia XCSDL DC'!#REF!</f>
        <v>#REF!</v>
      </c>
      <c r="AD192" s="609">
        <f>D192*'Don gia XCSDL DC'!$K$10</f>
        <v>28354.492061379573</v>
      </c>
      <c r="AE192" s="609">
        <f>J192*'Don gia XCSDL DC'!$K$11</f>
        <v>0</v>
      </c>
      <c r="AF192" s="609" t="e">
        <f>S192*'Don gia XCSDL DC'!#REF!</f>
        <v>#REF!</v>
      </c>
      <c r="AG192" s="609" t="e">
        <f>D192*'Don gia XCSDL DC'!#REF!</f>
        <v>#REF!</v>
      </c>
      <c r="AH192" s="609" t="e">
        <f>J192*'Don gia XCSDL DC'!#REF!</f>
        <v>#REF!</v>
      </c>
      <c r="AI192" s="609" t="e">
        <f>D192*'Don gia XCSDL DC'!#REF!</f>
        <v>#REF!</v>
      </c>
      <c r="AJ192" s="609">
        <f>S192*2*'Don gia XCSDL DC'!$K$24</f>
        <v>1361510117.1078348</v>
      </c>
      <c r="AK192" s="609" t="e">
        <f>S192*3*'Don gia XCSDL DC'!#REF!</f>
        <v>#REF!</v>
      </c>
      <c r="AL192" s="609" t="e">
        <f>(S192*2+S192*3)*('Don gia XCSDL DC'!#REF!+'Don gia XCSDL DC'!#REF!+'Don gia XCSDL DC'!#REF!)</f>
        <v>#REF!</v>
      </c>
      <c r="AM192" s="609" t="e">
        <f>O192*'Don gia XCSDL DC'!#REF!*50%</f>
        <v>#REF!</v>
      </c>
      <c r="AN192" s="609" t="e">
        <f>T192*'Don gia XCSDL DC'!#REF!*$AN$8</f>
        <v>#REF!</v>
      </c>
      <c r="AO192" s="609" t="e">
        <f>U192*'Don gia XCSDL DC'!#REF!*1</f>
        <v>#REF!</v>
      </c>
      <c r="AP192" s="609" t="e">
        <f>P192*X192*'Don gia XCSDL DC'!#REF!</f>
        <v>#REF!</v>
      </c>
      <c r="AQ192" s="609" t="e">
        <f>Q192*$AQ$8*'Don gia XCSDL DC'!#REF!</f>
        <v>#REF!</v>
      </c>
      <c r="AR192" s="609" t="e">
        <f>M192*$AR$8*'Don gia XCSDL DC'!#REF!</f>
        <v>#REF!</v>
      </c>
      <c r="AS192" s="609" t="e">
        <f>J192*'Don gia XCSDL DC'!#REF!</f>
        <v>#REF!</v>
      </c>
      <c r="AT192" s="609">
        <f>D192*'Don gia XCSDL DC'!$K$26</f>
        <v>0</v>
      </c>
      <c r="AU192" s="609">
        <f>J192*'Don gia XCSDL DC'!$K$34</f>
        <v>0</v>
      </c>
      <c r="AV192" s="609">
        <f>O192*'Don gia XCSDL DC'!$K$37</f>
        <v>0</v>
      </c>
      <c r="AW192" s="610" t="e">
        <f t="shared" si="80"/>
        <v>#REF!</v>
      </c>
      <c r="AX192" s="611" t="e">
        <f t="shared" si="81"/>
        <v>#REF!</v>
      </c>
      <c r="AY192" s="806" t="e">
        <f t="shared" si="78"/>
        <v>#REF!</v>
      </c>
      <c r="AZ192" s="612" t="e">
        <f>D192*'Don gia XCSDL DC'!#REF!</f>
        <v>#REF!</v>
      </c>
      <c r="BA192" s="613" t="e">
        <f>(Q192+M192)*'Don gia XCSDL DC'!#REF!</f>
        <v>#REF!</v>
      </c>
    </row>
    <row r="193" spans="1:53" ht="24.75" customHeight="1">
      <c r="A193" s="626"/>
      <c r="B193" s="445">
        <v>4</v>
      </c>
      <c r="C193" s="445" t="s">
        <v>452</v>
      </c>
      <c r="D193" s="600">
        <v>12</v>
      </c>
      <c r="E193" s="558">
        <v>12</v>
      </c>
      <c r="F193" s="601">
        <v>1</v>
      </c>
      <c r="G193" s="602">
        <v>1</v>
      </c>
      <c r="H193" s="601"/>
      <c r="I193" s="601"/>
      <c r="J193" s="604">
        <v>77772</v>
      </c>
      <c r="K193" s="604">
        <v>77772</v>
      </c>
      <c r="L193" s="604">
        <v>77772</v>
      </c>
      <c r="M193" s="605">
        <f t="shared" si="101"/>
        <v>7777.2000000000007</v>
      </c>
      <c r="N193" s="604">
        <f t="shared" si="102"/>
        <v>69994.8</v>
      </c>
      <c r="O193" s="604">
        <f t="shared" si="103"/>
        <v>66845.034</v>
      </c>
      <c r="P193" s="604">
        <f t="shared" si="104"/>
        <v>18582.534</v>
      </c>
      <c r="Q193" s="604">
        <f t="shared" si="105"/>
        <v>3149.7660000000033</v>
      </c>
      <c r="R193" s="604"/>
      <c r="S193" s="604">
        <v>55239</v>
      </c>
      <c r="T193" s="604">
        <f>S193*0.1</f>
        <v>5523.9000000000005</v>
      </c>
      <c r="U193" s="665">
        <f>96525/2-T193</f>
        <v>42738.6</v>
      </c>
      <c r="V193" s="604">
        <f t="shared" si="106"/>
        <v>6976.5</v>
      </c>
      <c r="W193" s="604"/>
      <c r="X193" s="607">
        <f t="shared" si="71"/>
        <v>0.49763104335548075</v>
      </c>
      <c r="Y193" s="608">
        <f t="shared" si="107"/>
        <v>662868</v>
      </c>
      <c r="AA193" s="609">
        <f>D193*'Don gia XCSDL DC'!$K$8</f>
        <v>5535.1208972113845</v>
      </c>
      <c r="AB193" s="609">
        <f>D193*'Don gia XCSDL DC'!$K$9</f>
        <v>5281.1801972113853</v>
      </c>
      <c r="AC193" s="609" t="e">
        <f>D193*'Don gia XCSDL DC'!#REF!</f>
        <v>#REF!</v>
      </c>
      <c r="AD193" s="609">
        <f>D193*'Don gia XCSDL DC'!$K$10</f>
        <v>21265.869046034681</v>
      </c>
      <c r="AE193" s="609">
        <f>J193*'Don gia XCSDL DC'!$K$11</f>
        <v>0</v>
      </c>
      <c r="AF193" s="609" t="e">
        <f>S193*'Don gia XCSDL DC'!#REF!</f>
        <v>#REF!</v>
      </c>
      <c r="AG193" s="609" t="e">
        <f>D193*'Don gia XCSDL DC'!#REF!</f>
        <v>#REF!</v>
      </c>
      <c r="AH193" s="609" t="e">
        <f>J193*'Don gia XCSDL DC'!#REF!</f>
        <v>#REF!</v>
      </c>
      <c r="AI193" s="609" t="e">
        <f>D193*'Don gia XCSDL DC'!#REF!</f>
        <v>#REF!</v>
      </c>
      <c r="AJ193" s="609">
        <f>S193*2*'Don gia XCSDL DC'!$K$24</f>
        <v>944651854.03403497</v>
      </c>
      <c r="AK193" s="609" t="e">
        <f>S193*3*'Don gia XCSDL DC'!#REF!</f>
        <v>#REF!</v>
      </c>
      <c r="AL193" s="609" t="e">
        <f>(S193*2+S193*3)*('Don gia XCSDL DC'!#REF!+'Don gia XCSDL DC'!#REF!+'Don gia XCSDL DC'!#REF!)</f>
        <v>#REF!</v>
      </c>
      <c r="AM193" s="609" t="e">
        <f>O193*'Don gia XCSDL DC'!#REF!*50%</f>
        <v>#REF!</v>
      </c>
      <c r="AN193" s="609" t="e">
        <f>T193*'Don gia XCSDL DC'!#REF!*$AN$8</f>
        <v>#REF!</v>
      </c>
      <c r="AO193" s="609" t="e">
        <f>U193*'Don gia XCSDL DC'!#REF!*1</f>
        <v>#REF!</v>
      </c>
      <c r="AP193" s="609" t="e">
        <f>P193*X193*'Don gia XCSDL DC'!#REF!</f>
        <v>#REF!</v>
      </c>
      <c r="AQ193" s="609" t="e">
        <f>Q193*$AQ$8*'Don gia XCSDL DC'!#REF!</f>
        <v>#REF!</v>
      </c>
      <c r="AR193" s="609" t="e">
        <f>M193*$AR$8*'Don gia XCSDL DC'!#REF!</f>
        <v>#REF!</v>
      </c>
      <c r="AS193" s="609" t="e">
        <f>J193*'Don gia XCSDL DC'!#REF!</f>
        <v>#REF!</v>
      </c>
      <c r="AT193" s="609">
        <f>D193*'Don gia XCSDL DC'!$K$26</f>
        <v>0</v>
      </c>
      <c r="AU193" s="609">
        <f>J193*'Don gia XCSDL DC'!$K$34</f>
        <v>0</v>
      </c>
      <c r="AV193" s="609">
        <f>O193*'Don gia XCSDL DC'!$K$37</f>
        <v>0</v>
      </c>
      <c r="AW193" s="610" t="e">
        <f t="shared" si="80"/>
        <v>#REF!</v>
      </c>
      <c r="AX193" s="611" t="e">
        <f t="shared" si="81"/>
        <v>#REF!</v>
      </c>
      <c r="AY193" s="806" t="e">
        <f t="shared" si="78"/>
        <v>#REF!</v>
      </c>
      <c r="AZ193" s="612" t="e">
        <f>D193*'Don gia XCSDL DC'!#REF!</f>
        <v>#REF!</v>
      </c>
      <c r="BA193" s="613" t="e">
        <f>(Q193+M193)*'Don gia XCSDL DC'!#REF!</f>
        <v>#REF!</v>
      </c>
    </row>
    <row r="194" spans="1:53" ht="24.75" customHeight="1">
      <c r="A194" s="626"/>
      <c r="B194" s="445">
        <v>5</v>
      </c>
      <c r="C194" s="445" t="s">
        <v>453</v>
      </c>
      <c r="D194" s="600">
        <v>18</v>
      </c>
      <c r="E194" s="558">
        <v>18</v>
      </c>
      <c r="F194" s="601">
        <v>1</v>
      </c>
      <c r="G194" s="602">
        <v>1</v>
      </c>
      <c r="H194" s="601"/>
      <c r="I194" s="601"/>
      <c r="J194" s="604">
        <v>198326</v>
      </c>
      <c r="K194" s="604">
        <v>162277</v>
      </c>
      <c r="L194" s="604">
        <f>113326/4*4+25000</f>
        <v>138326</v>
      </c>
      <c r="M194" s="605">
        <f t="shared" si="101"/>
        <v>19832.600000000002</v>
      </c>
      <c r="N194" s="604">
        <f t="shared" si="102"/>
        <v>178493.4</v>
      </c>
      <c r="O194" s="604">
        <f t="shared" si="103"/>
        <v>170461.19699999999</v>
      </c>
      <c r="P194" s="604">
        <f t="shared" si="104"/>
        <v>103300.197</v>
      </c>
      <c r="Q194" s="604">
        <f t="shared" si="105"/>
        <v>8032.2030000000086</v>
      </c>
      <c r="R194" s="604"/>
      <c r="S194" s="604">
        <v>103706</v>
      </c>
      <c r="T194" s="604">
        <f>S194*0.05</f>
        <v>5185.3</v>
      </c>
      <c r="U194" s="665">
        <f>134322/2-T194</f>
        <v>61975.7</v>
      </c>
      <c r="V194" s="604">
        <f t="shared" si="106"/>
        <v>36545</v>
      </c>
      <c r="W194" s="604"/>
      <c r="X194" s="607">
        <f t="shared" si="71"/>
        <v>0.48021011434318445</v>
      </c>
      <c r="Y194" s="608">
        <f t="shared" si="107"/>
        <v>1244472</v>
      </c>
      <c r="AA194" s="609">
        <f>D194*'Don gia XCSDL DC'!$K$8</f>
        <v>8302.6813458170764</v>
      </c>
      <c r="AB194" s="609">
        <f>D194*'Don gia XCSDL DC'!$K$9</f>
        <v>7921.7702958170776</v>
      </c>
      <c r="AC194" s="609" t="e">
        <f>D194*'Don gia XCSDL DC'!#REF!</f>
        <v>#REF!</v>
      </c>
      <c r="AD194" s="609">
        <f>D194*'Don gia XCSDL DC'!$K$10</f>
        <v>31898.803569052019</v>
      </c>
      <c r="AE194" s="609">
        <f>J194*'Don gia XCSDL DC'!$K$11</f>
        <v>0</v>
      </c>
      <c r="AF194" s="609" t="e">
        <f>S194*'Don gia XCSDL DC'!#REF!</f>
        <v>#REF!</v>
      </c>
      <c r="AG194" s="609" t="e">
        <f>D194*'Don gia XCSDL DC'!#REF!</f>
        <v>#REF!</v>
      </c>
      <c r="AH194" s="609" t="e">
        <f>J194*'Don gia XCSDL DC'!#REF!</f>
        <v>#REF!</v>
      </c>
      <c r="AI194" s="609" t="e">
        <f>D194*'Don gia XCSDL DC'!#REF!</f>
        <v>#REF!</v>
      </c>
      <c r="AJ194" s="609">
        <f>S194*2*'Don gia XCSDL DC'!$K$24</f>
        <v>1773494545.0579052</v>
      </c>
      <c r="AK194" s="609" t="e">
        <f>S194*3*'Don gia XCSDL DC'!#REF!</f>
        <v>#REF!</v>
      </c>
      <c r="AL194" s="609" t="e">
        <f>(S194*2+S194*3)*('Don gia XCSDL DC'!#REF!+'Don gia XCSDL DC'!#REF!+'Don gia XCSDL DC'!#REF!)</f>
        <v>#REF!</v>
      </c>
      <c r="AM194" s="609" t="e">
        <f>O194*'Don gia XCSDL DC'!#REF!*50%</f>
        <v>#REF!</v>
      </c>
      <c r="AN194" s="609" t="e">
        <f>T194*'Don gia XCSDL DC'!#REF!*$AN$8</f>
        <v>#REF!</v>
      </c>
      <c r="AO194" s="609" t="e">
        <f>U194*'Don gia XCSDL DC'!#REF!*1</f>
        <v>#REF!</v>
      </c>
      <c r="AP194" s="609" t="e">
        <f>P194*X194*'Don gia XCSDL DC'!#REF!</f>
        <v>#REF!</v>
      </c>
      <c r="AQ194" s="609" t="e">
        <f>Q194*$AQ$8*'Don gia XCSDL DC'!#REF!</f>
        <v>#REF!</v>
      </c>
      <c r="AR194" s="609" t="e">
        <f>M194*$AR$8*'Don gia XCSDL DC'!#REF!</f>
        <v>#REF!</v>
      </c>
      <c r="AS194" s="609" t="e">
        <f>J194*'Don gia XCSDL DC'!#REF!</f>
        <v>#REF!</v>
      </c>
      <c r="AT194" s="609">
        <f>D194*'Don gia XCSDL DC'!$K$26</f>
        <v>0</v>
      </c>
      <c r="AU194" s="609">
        <f>J194*'Don gia XCSDL DC'!$K$34</f>
        <v>0</v>
      </c>
      <c r="AV194" s="609">
        <f>O194*'Don gia XCSDL DC'!$K$37</f>
        <v>0</v>
      </c>
      <c r="AW194" s="610" t="e">
        <f t="shared" si="80"/>
        <v>#REF!</v>
      </c>
      <c r="AX194" s="611" t="e">
        <f t="shared" si="81"/>
        <v>#REF!</v>
      </c>
      <c r="AY194" s="806" t="e">
        <f t="shared" si="78"/>
        <v>#REF!</v>
      </c>
      <c r="AZ194" s="612" t="e">
        <f>D194*'Don gia XCSDL DC'!#REF!</f>
        <v>#REF!</v>
      </c>
      <c r="BA194" s="613" t="e">
        <f>(Q194+M194)*'Don gia XCSDL DC'!#REF!</f>
        <v>#REF!</v>
      </c>
    </row>
    <row r="195" spans="1:53" ht="24.75" customHeight="1">
      <c r="A195" s="626"/>
      <c r="B195" s="445">
        <v>6</v>
      </c>
      <c r="C195" s="445" t="s">
        <v>454</v>
      </c>
      <c r="D195" s="600">
        <v>21</v>
      </c>
      <c r="E195" s="558">
        <v>21</v>
      </c>
      <c r="F195" s="601">
        <v>1</v>
      </c>
      <c r="G195" s="602">
        <v>1</v>
      </c>
      <c r="H195" s="601"/>
      <c r="I195" s="601"/>
      <c r="J195" s="604">
        <v>82436</v>
      </c>
      <c r="K195" s="604"/>
      <c r="L195" s="604">
        <f>36218/4*8+10000</f>
        <v>82436</v>
      </c>
      <c r="M195" s="605">
        <f t="shared" si="101"/>
        <v>8243.6</v>
      </c>
      <c r="N195" s="604">
        <f t="shared" si="102"/>
        <v>74192.399999999994</v>
      </c>
      <c r="O195" s="604">
        <f t="shared" si="103"/>
        <v>70853.741999999998</v>
      </c>
      <c r="P195" s="604">
        <f t="shared" si="104"/>
        <v>49593.241999999991</v>
      </c>
      <c r="Q195" s="604">
        <f t="shared" si="105"/>
        <v>3338.6579999999958</v>
      </c>
      <c r="R195" s="604"/>
      <c r="S195" s="604">
        <v>45092</v>
      </c>
      <c r="T195" s="604">
        <f>S195*0.05</f>
        <v>2254.6</v>
      </c>
      <c r="U195" s="665">
        <f>42521/2-T195</f>
        <v>19005.900000000001</v>
      </c>
      <c r="V195" s="604">
        <f t="shared" si="106"/>
        <v>23831.5</v>
      </c>
      <c r="W195" s="604"/>
      <c r="X195" s="607">
        <f t="shared" si="71"/>
        <v>0.5821728860978066</v>
      </c>
      <c r="Y195" s="608">
        <f t="shared" si="107"/>
        <v>541104</v>
      </c>
      <c r="AA195" s="609">
        <f>D195*'Don gia XCSDL DC'!$K$8</f>
        <v>9686.4615701199236</v>
      </c>
      <c r="AB195" s="609">
        <f>D195*'Don gia XCSDL DC'!$K$9</f>
        <v>9242.065345119925</v>
      </c>
      <c r="AC195" s="609" t="e">
        <f>D195*'Don gia XCSDL DC'!#REF!</f>
        <v>#REF!</v>
      </c>
      <c r="AD195" s="609">
        <f>D195*'Don gia XCSDL DC'!$K$10</f>
        <v>37215.270830560687</v>
      </c>
      <c r="AE195" s="609">
        <f>J195*'Don gia XCSDL DC'!$K$11</f>
        <v>0</v>
      </c>
      <c r="AF195" s="609" t="e">
        <f>S195*'Don gia XCSDL DC'!#REF!</f>
        <v>#REF!</v>
      </c>
      <c r="AG195" s="609" t="e">
        <f>D195*'Don gia XCSDL DC'!#REF!</f>
        <v>#REF!</v>
      </c>
      <c r="AH195" s="609" t="e">
        <f>J195*'Don gia XCSDL DC'!#REF!</f>
        <v>#REF!</v>
      </c>
      <c r="AI195" s="609" t="e">
        <f>D195*'Don gia XCSDL DC'!#REF!</f>
        <v>#REF!</v>
      </c>
      <c r="AJ195" s="609">
        <f>S195*2*'Don gia XCSDL DC'!$K$24</f>
        <v>771126222.45338809</v>
      </c>
      <c r="AK195" s="609" t="e">
        <f>S195*3*'Don gia XCSDL DC'!#REF!</f>
        <v>#REF!</v>
      </c>
      <c r="AL195" s="609" t="e">
        <f>(S195*2+S195*3)*('Don gia XCSDL DC'!#REF!+'Don gia XCSDL DC'!#REF!+'Don gia XCSDL DC'!#REF!)</f>
        <v>#REF!</v>
      </c>
      <c r="AM195" s="609" t="e">
        <f>O195*'Don gia XCSDL DC'!#REF!*50%</f>
        <v>#REF!</v>
      </c>
      <c r="AN195" s="609" t="e">
        <f>T195*'Don gia XCSDL DC'!#REF!*$AN$8</f>
        <v>#REF!</v>
      </c>
      <c r="AO195" s="609" t="e">
        <f>U195*'Don gia XCSDL DC'!#REF!*1</f>
        <v>#REF!</v>
      </c>
      <c r="AP195" s="609" t="e">
        <f>P195*X195*'Don gia XCSDL DC'!#REF!</f>
        <v>#REF!</v>
      </c>
      <c r="AQ195" s="609" t="e">
        <f>Q195*$AQ$8*'Don gia XCSDL DC'!#REF!</f>
        <v>#REF!</v>
      </c>
      <c r="AR195" s="609" t="e">
        <f>M195*$AR$8*'Don gia XCSDL DC'!#REF!</f>
        <v>#REF!</v>
      </c>
      <c r="AS195" s="609" t="e">
        <f>J195*'Don gia XCSDL DC'!#REF!</f>
        <v>#REF!</v>
      </c>
      <c r="AT195" s="609">
        <f>D195*'Don gia XCSDL DC'!$K$26</f>
        <v>0</v>
      </c>
      <c r="AU195" s="609">
        <f>J195*'Don gia XCSDL DC'!$K$34</f>
        <v>0</v>
      </c>
      <c r="AV195" s="609">
        <f>O195*'Don gia XCSDL DC'!$K$37</f>
        <v>0</v>
      </c>
      <c r="AW195" s="610" t="e">
        <f t="shared" si="80"/>
        <v>#REF!</v>
      </c>
      <c r="AX195" s="611" t="e">
        <f t="shared" si="81"/>
        <v>#REF!</v>
      </c>
      <c r="AY195" s="806" t="e">
        <f t="shared" si="78"/>
        <v>#REF!</v>
      </c>
      <c r="AZ195" s="612" t="e">
        <f>D195*'Don gia XCSDL DC'!#REF!</f>
        <v>#REF!</v>
      </c>
      <c r="BA195" s="613" t="e">
        <f>(Q195+M195)*'Don gia XCSDL DC'!#REF!</f>
        <v>#REF!</v>
      </c>
    </row>
    <row r="196" spans="1:53" ht="24.75" customHeight="1">
      <c r="A196" s="626"/>
      <c r="B196" s="445">
        <v>7</v>
      </c>
      <c r="C196" s="445" t="s">
        <v>455</v>
      </c>
      <c r="D196" s="600">
        <v>27</v>
      </c>
      <c r="E196" s="601">
        <v>27</v>
      </c>
      <c r="F196" s="601">
        <v>1</v>
      </c>
      <c r="G196" s="602">
        <v>1</v>
      </c>
      <c r="H196" s="601"/>
      <c r="I196" s="601"/>
      <c r="J196" s="604">
        <v>175935.5</v>
      </c>
      <c r="K196" s="604"/>
      <c r="L196" s="604">
        <f>32592/4*3+(302983/3*1.5)</f>
        <v>175935.5</v>
      </c>
      <c r="M196" s="605">
        <f t="shared" si="101"/>
        <v>17593.55</v>
      </c>
      <c r="N196" s="604">
        <f t="shared" si="102"/>
        <v>158341.95000000001</v>
      </c>
      <c r="O196" s="604">
        <f t="shared" si="103"/>
        <v>151216.56225000002</v>
      </c>
      <c r="P196" s="604">
        <f t="shared" si="104"/>
        <v>117023.96225000001</v>
      </c>
      <c r="Q196" s="604">
        <f t="shared" si="105"/>
        <v>7125.3877499999944</v>
      </c>
      <c r="R196" s="604"/>
      <c r="S196" s="604">
        <v>56083</v>
      </c>
      <c r="T196" s="604">
        <f>S196*0.2</f>
        <v>11216.6</v>
      </c>
      <c r="U196" s="670">
        <v>22976</v>
      </c>
      <c r="V196" s="604">
        <f t="shared" si="106"/>
        <v>21890.400000000001</v>
      </c>
      <c r="W196" s="604"/>
      <c r="X196" s="607">
        <f t="shared" si="71"/>
        <v>0.3461127745766816</v>
      </c>
      <c r="Y196" s="608">
        <f t="shared" si="107"/>
        <v>672996</v>
      </c>
      <c r="AA196" s="609">
        <f>D196*'Don gia XCSDL DC'!$K$8</f>
        <v>12454.022018725615</v>
      </c>
      <c r="AB196" s="609">
        <f>D196*'Don gia XCSDL DC'!$K$9</f>
        <v>11882.655443725616</v>
      </c>
      <c r="AC196" s="609" t="e">
        <f>D196*'Don gia XCSDL DC'!#REF!</f>
        <v>#REF!</v>
      </c>
      <c r="AD196" s="609">
        <f>D196*'Don gia XCSDL DC'!$K$10</f>
        <v>47848.205353578029</v>
      </c>
      <c r="AE196" s="609">
        <f>J196*'Don gia XCSDL DC'!$K$11</f>
        <v>0</v>
      </c>
      <c r="AF196" s="609" t="e">
        <f>S196*'Don gia XCSDL DC'!#REF!</f>
        <v>#REF!</v>
      </c>
      <c r="AG196" s="609" t="e">
        <f>D196*'Don gia XCSDL DC'!#REF!</f>
        <v>#REF!</v>
      </c>
      <c r="AH196" s="609" t="e">
        <f>J196*'Don gia XCSDL DC'!#REF!</f>
        <v>#REF!</v>
      </c>
      <c r="AI196" s="609" t="e">
        <f>D196*'Don gia XCSDL DC'!#REF!</f>
        <v>#REF!</v>
      </c>
      <c r="AJ196" s="609">
        <f>S196*2*'Don gia XCSDL DC'!$K$24</f>
        <v>959085246.47062361</v>
      </c>
      <c r="AK196" s="609" t="e">
        <f>S196*3*'Don gia XCSDL DC'!#REF!</f>
        <v>#REF!</v>
      </c>
      <c r="AL196" s="609" t="e">
        <f>(S196*2+S196*3)*('Don gia XCSDL DC'!#REF!+'Don gia XCSDL DC'!#REF!+'Don gia XCSDL DC'!#REF!)</f>
        <v>#REF!</v>
      </c>
      <c r="AM196" s="609" t="e">
        <f>O196*'Don gia XCSDL DC'!#REF!*50%</f>
        <v>#REF!</v>
      </c>
      <c r="AN196" s="609" t="e">
        <f>T196*'Don gia XCSDL DC'!#REF!*$AN$8</f>
        <v>#REF!</v>
      </c>
      <c r="AO196" s="609" t="e">
        <f>U196*'Don gia XCSDL DC'!#REF!*1</f>
        <v>#REF!</v>
      </c>
      <c r="AP196" s="609" t="e">
        <f>P196*X196*'Don gia XCSDL DC'!#REF!</f>
        <v>#REF!</v>
      </c>
      <c r="AQ196" s="609" t="e">
        <f>Q196*$AQ$8*'Don gia XCSDL DC'!#REF!</f>
        <v>#REF!</v>
      </c>
      <c r="AR196" s="609" t="e">
        <f>M196*$AR$8*'Don gia XCSDL DC'!#REF!</f>
        <v>#REF!</v>
      </c>
      <c r="AS196" s="609" t="e">
        <f>J196*'Don gia XCSDL DC'!#REF!</f>
        <v>#REF!</v>
      </c>
      <c r="AT196" s="609">
        <f>D196*'Don gia XCSDL DC'!$K$26</f>
        <v>0</v>
      </c>
      <c r="AU196" s="609">
        <f>J196*'Don gia XCSDL DC'!$K$34</f>
        <v>0</v>
      </c>
      <c r="AV196" s="609">
        <f>O196*'Don gia XCSDL DC'!$K$37</f>
        <v>0</v>
      </c>
      <c r="AW196" s="610" t="e">
        <f t="shared" si="80"/>
        <v>#REF!</v>
      </c>
      <c r="AX196" s="611" t="e">
        <f t="shared" si="81"/>
        <v>#REF!</v>
      </c>
      <c r="AY196" s="806" t="e">
        <f t="shared" si="78"/>
        <v>#REF!</v>
      </c>
      <c r="AZ196" s="612" t="e">
        <f>D196*'Don gia XCSDL DC'!#REF!</f>
        <v>#REF!</v>
      </c>
      <c r="BA196" s="613" t="e">
        <f>(Q196+M196)*'Don gia XCSDL DC'!#REF!</f>
        <v>#REF!</v>
      </c>
    </row>
    <row r="197" spans="1:53" s="723" customFormat="1" ht="24.75" customHeight="1">
      <c r="A197" s="735"/>
      <c r="B197" s="713"/>
      <c r="C197" s="713" t="s">
        <v>456</v>
      </c>
      <c r="D197" s="714">
        <v>11</v>
      </c>
      <c r="E197" s="715">
        <v>11</v>
      </c>
      <c r="F197" s="715"/>
      <c r="G197" s="715">
        <v>1</v>
      </c>
      <c r="H197" s="715"/>
      <c r="I197" s="715"/>
      <c r="J197" s="718">
        <v>38582</v>
      </c>
      <c r="K197" s="718"/>
      <c r="L197" s="718"/>
      <c r="M197" s="719"/>
      <c r="N197" s="718"/>
      <c r="O197" s="718"/>
      <c r="P197" s="718"/>
      <c r="Q197" s="718"/>
      <c r="R197" s="718"/>
      <c r="S197" s="718"/>
      <c r="T197" s="718"/>
      <c r="U197" s="730"/>
      <c r="V197" s="718"/>
      <c r="W197" s="718"/>
      <c r="X197" s="721"/>
      <c r="Y197" s="722"/>
      <c r="AA197" s="609"/>
      <c r="AB197" s="609"/>
      <c r="AC197" s="609"/>
      <c r="AD197" s="724"/>
      <c r="AE197" s="724"/>
      <c r="AF197" s="724"/>
      <c r="AG197" s="724"/>
      <c r="AH197" s="724"/>
      <c r="AI197" s="724"/>
      <c r="AJ197" s="724"/>
      <c r="AK197" s="724"/>
      <c r="AL197" s="724"/>
      <c r="AM197" s="724"/>
      <c r="AN197" s="724"/>
      <c r="AO197" s="724"/>
      <c r="AP197" s="724"/>
      <c r="AQ197" s="724"/>
      <c r="AR197" s="724"/>
      <c r="AS197" s="724"/>
      <c r="AT197" s="724"/>
      <c r="AU197" s="724"/>
      <c r="AV197" s="609"/>
      <c r="AW197" s="610"/>
      <c r="AX197" s="611"/>
      <c r="AY197" s="807"/>
      <c r="AZ197" s="612"/>
      <c r="BA197" s="613"/>
    </row>
    <row r="198" spans="1:53" s="723" customFormat="1" ht="24.75" customHeight="1">
      <c r="A198" s="735"/>
      <c r="B198" s="713"/>
      <c r="C198" s="713" t="s">
        <v>457</v>
      </c>
      <c r="D198" s="714">
        <v>20</v>
      </c>
      <c r="E198" s="715">
        <v>20</v>
      </c>
      <c r="F198" s="715"/>
      <c r="G198" s="715">
        <v>1</v>
      </c>
      <c r="H198" s="715"/>
      <c r="I198" s="715"/>
      <c r="J198" s="718">
        <v>121338</v>
      </c>
      <c r="K198" s="716"/>
      <c r="L198" s="734">
        <v>121338</v>
      </c>
      <c r="M198" s="719"/>
      <c r="N198" s="718"/>
      <c r="O198" s="718"/>
      <c r="P198" s="718"/>
      <c r="Q198" s="718"/>
      <c r="R198" s="718"/>
      <c r="S198" s="718"/>
      <c r="T198" s="718"/>
      <c r="U198" s="730"/>
      <c r="V198" s="718"/>
      <c r="W198" s="718"/>
      <c r="X198" s="721"/>
      <c r="Y198" s="722"/>
      <c r="AA198" s="609"/>
      <c r="AB198" s="609"/>
      <c r="AC198" s="609"/>
      <c r="AD198" s="724"/>
      <c r="AE198" s="724"/>
      <c r="AF198" s="724"/>
      <c r="AG198" s="724"/>
      <c r="AH198" s="724"/>
      <c r="AI198" s="724"/>
      <c r="AJ198" s="724"/>
      <c r="AK198" s="724"/>
      <c r="AL198" s="724"/>
      <c r="AM198" s="724"/>
      <c r="AN198" s="724"/>
      <c r="AO198" s="724"/>
      <c r="AP198" s="724"/>
      <c r="AQ198" s="724"/>
      <c r="AR198" s="724"/>
      <c r="AS198" s="724"/>
      <c r="AT198" s="724"/>
      <c r="AU198" s="724"/>
      <c r="AV198" s="609"/>
      <c r="AW198" s="610"/>
      <c r="AX198" s="611"/>
      <c r="AY198" s="807"/>
      <c r="AZ198" s="612"/>
      <c r="BA198" s="613"/>
    </row>
    <row r="199" spans="1:53" s="598" customFormat="1" ht="24.75" customHeight="1">
      <c r="A199" s="589">
        <v>6</v>
      </c>
      <c r="B199" s="1945" t="s">
        <v>458</v>
      </c>
      <c r="C199" s="1945"/>
      <c r="D199" s="594"/>
      <c r="E199" s="595">
        <f>SUM(E200:E207)</f>
        <v>118</v>
      </c>
      <c r="F199" s="595">
        <f>SUM(F200:F207)</f>
        <v>8</v>
      </c>
      <c r="G199" s="596">
        <f>SUM(G200:G213)</f>
        <v>14</v>
      </c>
      <c r="H199" s="595">
        <v>14</v>
      </c>
      <c r="I199" s="595"/>
      <c r="J199" s="595">
        <f t="shared" ref="J199:Q199" si="108">SUM(J200:J207)</f>
        <v>908890</v>
      </c>
      <c r="K199" s="595">
        <f t="shared" si="108"/>
        <v>689005</v>
      </c>
      <c r="L199" s="595">
        <f t="shared" si="108"/>
        <v>891537</v>
      </c>
      <c r="M199" s="595">
        <f t="shared" si="108"/>
        <v>83851.400000000009</v>
      </c>
      <c r="N199" s="595">
        <f t="shared" si="108"/>
        <v>825038.6</v>
      </c>
      <c r="O199" s="595">
        <f t="shared" si="108"/>
        <v>781311.55420000001</v>
      </c>
      <c r="P199" s="595">
        <f t="shared" si="108"/>
        <v>560027.48753333325</v>
      </c>
      <c r="Q199" s="595">
        <f t="shared" si="108"/>
        <v>43727.045800000065</v>
      </c>
      <c r="R199" s="595"/>
      <c r="S199" s="595">
        <f>SUM(S200:S207)</f>
        <v>534400.9</v>
      </c>
      <c r="T199" s="595">
        <f>SUM(T200:T207)</f>
        <v>32720.794999999998</v>
      </c>
      <c r="U199" s="595">
        <f>SUM(U200:U207)</f>
        <v>188563.27166666667</v>
      </c>
      <c r="V199" s="595">
        <f>SUM(V200:V207)</f>
        <v>313116.83333333331</v>
      </c>
      <c r="W199" s="597">
        <v>0.94699999999999995</v>
      </c>
      <c r="X199" s="607">
        <f t="shared" ref="X199:X259" si="109">((V199*37)+(P199*9))/(P199*46)</f>
        <v>0.6453708927427293</v>
      </c>
      <c r="Y199" s="595">
        <f>SUM(Y200:Y207)</f>
        <v>6412810.7999999998</v>
      </c>
      <c r="AA199" s="609"/>
      <c r="AB199" s="609"/>
      <c r="AC199" s="609"/>
      <c r="AD199" s="609"/>
      <c r="AE199" s="609"/>
      <c r="AF199" s="609"/>
      <c r="AG199" s="609"/>
      <c r="AH199" s="609"/>
      <c r="AI199" s="609"/>
      <c r="AJ199" s="609"/>
      <c r="AK199" s="609"/>
      <c r="AL199" s="609"/>
      <c r="AM199" s="609"/>
      <c r="AN199" s="609"/>
      <c r="AO199" s="609"/>
      <c r="AP199" s="609"/>
      <c r="AQ199" s="609"/>
      <c r="AR199" s="609"/>
      <c r="AS199" s="609"/>
      <c r="AT199" s="609"/>
      <c r="AU199" s="609"/>
      <c r="AV199" s="609"/>
      <c r="AW199" s="610"/>
      <c r="AX199" s="611"/>
      <c r="AY199" s="806"/>
      <c r="AZ199" s="612"/>
      <c r="BA199" s="613"/>
    </row>
    <row r="200" spans="1:53" ht="24.75" customHeight="1">
      <c r="A200" s="599"/>
      <c r="B200" s="445">
        <v>1</v>
      </c>
      <c r="C200" s="445" t="s">
        <v>459</v>
      </c>
      <c r="D200" s="600">
        <v>23</v>
      </c>
      <c r="E200" s="601">
        <v>23</v>
      </c>
      <c r="F200" s="601">
        <v>1</v>
      </c>
      <c r="G200" s="602">
        <v>1</v>
      </c>
      <c r="H200" s="601"/>
      <c r="I200" s="601"/>
      <c r="J200" s="604">
        <f>49020*1.15</f>
        <v>56372.999999999993</v>
      </c>
      <c r="K200" s="604">
        <v>49020</v>
      </c>
      <c r="L200" s="604">
        <v>49020</v>
      </c>
      <c r="M200" s="605">
        <f>J200*10%</f>
        <v>5637.2999999999993</v>
      </c>
      <c r="N200" s="604">
        <f t="shared" ref="N200:N207" si="110">J200-M200</f>
        <v>50735.7</v>
      </c>
      <c r="O200" s="604">
        <f t="shared" ref="O200:O207" si="111">$N200*$W$199</f>
        <v>48046.707899999994</v>
      </c>
      <c r="P200" s="604">
        <f t="shared" ref="P200:P207" si="112">O200-T200-U200</f>
        <v>10585.374566666658</v>
      </c>
      <c r="Q200" s="604">
        <f t="shared" ref="Q200:Q207" si="113">N200-O200</f>
        <v>2688.9921000000031</v>
      </c>
      <c r="R200" s="604"/>
      <c r="S200" s="604">
        <v>40005</v>
      </c>
      <c r="T200" s="603">
        <f>S200*0.2</f>
        <v>8001</v>
      </c>
      <c r="U200" s="670">
        <f>112384/3-T200</f>
        <v>29460.333333333336</v>
      </c>
      <c r="V200" s="603">
        <f t="shared" ref="V200:V207" si="114">S200-T200-U200</f>
        <v>2543.6666666666642</v>
      </c>
      <c r="W200" s="603"/>
      <c r="X200" s="607">
        <f t="shared" si="109"/>
        <v>0.38893704453689626</v>
      </c>
      <c r="Y200" s="608">
        <f t="shared" ref="Y200:Y207" si="115">S200*12</f>
        <v>480060</v>
      </c>
      <c r="AA200" s="609">
        <f>D200*'Don gia XCSDL DC'!$K$8</f>
        <v>10608.981719655154</v>
      </c>
      <c r="AB200" s="609">
        <f>D200*'Don gia XCSDL DC'!$K$9</f>
        <v>10122.262044655155</v>
      </c>
      <c r="AC200" s="609" t="e">
        <f>D200*'Don gia XCSDL DC'!#REF!</f>
        <v>#REF!</v>
      </c>
      <c r="AD200" s="609">
        <f>D200*'Don gia XCSDL DC'!$K$10</f>
        <v>40759.582338233136</v>
      </c>
      <c r="AE200" s="609">
        <f>J200*'Don gia XCSDL DC'!$K$11</f>
        <v>0</v>
      </c>
      <c r="AF200" s="609" t="e">
        <f>S200*'Don gia XCSDL DC'!#REF!</f>
        <v>#REF!</v>
      </c>
      <c r="AG200" s="609" t="e">
        <f>D200*'Don gia XCSDL DC'!#REF!</f>
        <v>#REF!</v>
      </c>
      <c r="AH200" s="609" t="e">
        <f>J200*'Don gia XCSDL DC'!#REF!</f>
        <v>#REF!</v>
      </c>
      <c r="AI200" s="609" t="e">
        <f>D200*'Don gia XCSDL DC'!#REF!</f>
        <v>#REF!</v>
      </c>
      <c r="AJ200" s="609">
        <f>S200*2*'Don gia XCSDL DC'!$K$24</f>
        <v>684132540.78878272</v>
      </c>
      <c r="AK200" s="609" t="e">
        <f>S200*3*'Don gia XCSDL DC'!#REF!</f>
        <v>#REF!</v>
      </c>
      <c r="AL200" s="609" t="e">
        <f>(S200*2+S200*3)*('Don gia XCSDL DC'!#REF!+'Don gia XCSDL DC'!#REF!+'Don gia XCSDL DC'!#REF!)</f>
        <v>#REF!</v>
      </c>
      <c r="AM200" s="609" t="e">
        <f>O200*'Don gia XCSDL DC'!#REF!*50%</f>
        <v>#REF!</v>
      </c>
      <c r="AN200" s="609" t="e">
        <f>T200*'Don gia XCSDL DC'!#REF!*$AN$8</f>
        <v>#REF!</v>
      </c>
      <c r="AO200" s="609" t="e">
        <f>U200*'Don gia XCSDL DC'!#REF!*1</f>
        <v>#REF!</v>
      </c>
      <c r="AP200" s="609" t="e">
        <f>P200*X200*'Don gia XCSDL DC'!#REF!</f>
        <v>#REF!</v>
      </c>
      <c r="AQ200" s="609" t="e">
        <f>Q200*$AQ$8*'Don gia XCSDL DC'!#REF!</f>
        <v>#REF!</v>
      </c>
      <c r="AR200" s="609" t="e">
        <f>M200*$AR$8*'Don gia XCSDL DC'!#REF!</f>
        <v>#REF!</v>
      </c>
      <c r="AS200" s="609" t="e">
        <f>J200*'Don gia XCSDL DC'!#REF!</f>
        <v>#REF!</v>
      </c>
      <c r="AT200" s="609">
        <f>D200*'Don gia XCSDL DC'!$K$26</f>
        <v>0</v>
      </c>
      <c r="AU200" s="609">
        <f>J200*'Don gia XCSDL DC'!$K$34</f>
        <v>0</v>
      </c>
      <c r="AV200" s="609">
        <f>O200*'Don gia XCSDL DC'!$K$37</f>
        <v>0</v>
      </c>
      <c r="AW200" s="610" t="e">
        <f t="shared" si="80"/>
        <v>#REF!</v>
      </c>
      <c r="AX200" s="611" t="e">
        <f t="shared" si="81"/>
        <v>#REF!</v>
      </c>
      <c r="AY200" s="806" t="e">
        <f t="shared" ref="AY200:AY259" si="116">(AX200*100)/AW200</f>
        <v>#REF!</v>
      </c>
      <c r="AZ200" s="612" t="e">
        <f>D200*'Don gia XCSDL DC'!#REF!</f>
        <v>#REF!</v>
      </c>
      <c r="BA200" s="613" t="e">
        <f>(Q200+M200)*'Don gia XCSDL DC'!#REF!</f>
        <v>#REF!</v>
      </c>
    </row>
    <row r="201" spans="1:53" ht="24.75" customHeight="1">
      <c r="A201" s="599"/>
      <c r="B201" s="445">
        <v>2</v>
      </c>
      <c r="C201" s="445" t="s">
        <v>460</v>
      </c>
      <c r="D201" s="600">
        <v>11</v>
      </c>
      <c r="E201" s="601">
        <v>11</v>
      </c>
      <c r="F201" s="601">
        <v>1</v>
      </c>
      <c r="G201" s="602">
        <v>1</v>
      </c>
      <c r="H201" s="601"/>
      <c r="I201" s="601"/>
      <c r="J201" s="604">
        <v>120190</v>
      </c>
      <c r="K201" s="604">
        <v>120190</v>
      </c>
      <c r="L201" s="604">
        <v>120190</v>
      </c>
      <c r="M201" s="605">
        <f>J201*10%</f>
        <v>12019</v>
      </c>
      <c r="N201" s="604">
        <f t="shared" si="110"/>
        <v>108171</v>
      </c>
      <c r="O201" s="604">
        <f t="shared" si="111"/>
        <v>102437.93699999999</v>
      </c>
      <c r="P201" s="604">
        <f t="shared" si="112"/>
        <v>65014.136999999995</v>
      </c>
      <c r="Q201" s="604">
        <f t="shared" si="113"/>
        <v>5733.0630000000092</v>
      </c>
      <c r="R201" s="604"/>
      <c r="S201" s="604">
        <f>98903*0.8</f>
        <v>79122.400000000009</v>
      </c>
      <c r="T201" s="603">
        <f t="shared" ref="T201:T207" si="117">S201*0.05</f>
        <v>3956.1200000000008</v>
      </c>
      <c r="U201" s="670">
        <f>187119/5-T201</f>
        <v>33467.68</v>
      </c>
      <c r="V201" s="603">
        <f t="shared" si="114"/>
        <v>41698.600000000013</v>
      </c>
      <c r="W201" s="603"/>
      <c r="X201" s="607">
        <f t="shared" si="109"/>
        <v>0.71154271416384418</v>
      </c>
      <c r="Y201" s="608">
        <f t="shared" si="115"/>
        <v>949468.8</v>
      </c>
      <c r="AA201" s="609">
        <f>D201*'Don gia XCSDL DC'!$K$8</f>
        <v>5073.8608224437694</v>
      </c>
      <c r="AB201" s="609">
        <f>D201*'Don gia XCSDL DC'!$K$9</f>
        <v>4841.0818474437701</v>
      </c>
      <c r="AC201" s="609" t="e">
        <f>D201*'Don gia XCSDL DC'!#REF!</f>
        <v>#REF!</v>
      </c>
      <c r="AD201" s="609">
        <f>D201*'Don gia XCSDL DC'!$K$10</f>
        <v>19493.713292198456</v>
      </c>
      <c r="AE201" s="609">
        <f>J201*'Don gia XCSDL DC'!$K$11</f>
        <v>0</v>
      </c>
      <c r="AF201" s="609" t="e">
        <f>S201*'Don gia XCSDL DC'!#REF!</f>
        <v>#REF!</v>
      </c>
      <c r="AG201" s="609" t="e">
        <f>D201*'Don gia XCSDL DC'!#REF!</f>
        <v>#REF!</v>
      </c>
      <c r="AH201" s="609" t="e">
        <f>J201*'Don gia XCSDL DC'!#REF!</f>
        <v>#REF!</v>
      </c>
      <c r="AI201" s="609" t="e">
        <f>D201*'Don gia XCSDL DC'!#REF!</f>
        <v>#REF!</v>
      </c>
      <c r="AJ201" s="609">
        <f>S201*2*'Don gia XCSDL DC'!$K$24</f>
        <v>1353086077.8729255</v>
      </c>
      <c r="AK201" s="609" t="e">
        <f>S201*3*'Don gia XCSDL DC'!#REF!</f>
        <v>#REF!</v>
      </c>
      <c r="AL201" s="609" t="e">
        <f>(S201*2+S201*3)*('Don gia XCSDL DC'!#REF!+'Don gia XCSDL DC'!#REF!+'Don gia XCSDL DC'!#REF!)</f>
        <v>#REF!</v>
      </c>
      <c r="AM201" s="609" t="e">
        <f>O201*'Don gia XCSDL DC'!#REF!*50%</f>
        <v>#REF!</v>
      </c>
      <c r="AN201" s="609" t="e">
        <f>T201*'Don gia XCSDL DC'!#REF!*$AN$8</f>
        <v>#REF!</v>
      </c>
      <c r="AO201" s="609" t="e">
        <f>U201*'Don gia XCSDL DC'!#REF!*1</f>
        <v>#REF!</v>
      </c>
      <c r="AP201" s="609" t="e">
        <f>P201*X201*'Don gia XCSDL DC'!#REF!</f>
        <v>#REF!</v>
      </c>
      <c r="AQ201" s="609" t="e">
        <f>Q201*$AQ$8*'Don gia XCSDL DC'!#REF!</f>
        <v>#REF!</v>
      </c>
      <c r="AR201" s="609" t="e">
        <f>M201*$AR$8*'Don gia XCSDL DC'!#REF!</f>
        <v>#REF!</v>
      </c>
      <c r="AS201" s="609" t="e">
        <f>J201*'Don gia XCSDL DC'!#REF!</f>
        <v>#REF!</v>
      </c>
      <c r="AT201" s="609">
        <f>D201*'Don gia XCSDL DC'!$K$26</f>
        <v>0</v>
      </c>
      <c r="AU201" s="609">
        <f>J201*'Don gia XCSDL DC'!$K$34</f>
        <v>0</v>
      </c>
      <c r="AV201" s="609">
        <f>O201*'Don gia XCSDL DC'!$K$37</f>
        <v>0</v>
      </c>
      <c r="AW201" s="610" t="e">
        <f t="shared" si="80"/>
        <v>#REF!</v>
      </c>
      <c r="AX201" s="611" t="e">
        <f t="shared" si="81"/>
        <v>#REF!</v>
      </c>
      <c r="AY201" s="806" t="e">
        <f t="shared" si="116"/>
        <v>#REF!</v>
      </c>
      <c r="AZ201" s="612" t="e">
        <f>D201*'Don gia XCSDL DC'!#REF!</f>
        <v>#REF!</v>
      </c>
      <c r="BA201" s="613" t="e">
        <f>(Q201+M201)*'Don gia XCSDL DC'!#REF!</f>
        <v>#REF!</v>
      </c>
    </row>
    <row r="202" spans="1:53" ht="24.75" customHeight="1">
      <c r="A202" s="599"/>
      <c r="B202" s="445">
        <v>3</v>
      </c>
      <c r="C202" s="445" t="s">
        <v>461</v>
      </c>
      <c r="D202" s="600">
        <v>13</v>
      </c>
      <c r="E202" s="601">
        <v>13</v>
      </c>
      <c r="F202" s="601">
        <v>1</v>
      </c>
      <c r="G202" s="602">
        <v>1</v>
      </c>
      <c r="H202" s="601"/>
      <c r="I202" s="601"/>
      <c r="J202" s="604">
        <v>155765</v>
      </c>
      <c r="K202" s="604">
        <v>155765</v>
      </c>
      <c r="L202" s="604">
        <v>155765</v>
      </c>
      <c r="M202" s="605">
        <f>J202*10%</f>
        <v>15576.5</v>
      </c>
      <c r="N202" s="604">
        <f t="shared" si="110"/>
        <v>140188.5</v>
      </c>
      <c r="O202" s="604">
        <f t="shared" si="111"/>
        <v>132758.50949999999</v>
      </c>
      <c r="P202" s="604">
        <f t="shared" si="112"/>
        <v>107546.70949999998</v>
      </c>
      <c r="Q202" s="604">
        <f t="shared" si="113"/>
        <v>7429.9905000000144</v>
      </c>
      <c r="R202" s="604"/>
      <c r="S202" s="604">
        <f>128933*0.7</f>
        <v>90253.099999999991</v>
      </c>
      <c r="T202" s="603">
        <f t="shared" si="117"/>
        <v>4512.6549999999997</v>
      </c>
      <c r="U202" s="670">
        <f>126059/5-T202</f>
        <v>20699.145</v>
      </c>
      <c r="V202" s="603">
        <f t="shared" si="114"/>
        <v>65041.299999999988</v>
      </c>
      <c r="W202" s="603"/>
      <c r="X202" s="607">
        <f t="shared" si="109"/>
        <v>0.68209967662226922</v>
      </c>
      <c r="Y202" s="608">
        <f t="shared" si="115"/>
        <v>1083037.2</v>
      </c>
      <c r="AA202" s="609">
        <f>D202*'Don gia XCSDL DC'!$K$8</f>
        <v>5996.3809719789997</v>
      </c>
      <c r="AB202" s="609">
        <f>D202*'Don gia XCSDL DC'!$K$9</f>
        <v>5721.2785469790006</v>
      </c>
      <c r="AC202" s="609" t="e">
        <f>D202*'Don gia XCSDL DC'!#REF!</f>
        <v>#REF!</v>
      </c>
      <c r="AD202" s="609">
        <f>D202*'Don gia XCSDL DC'!$K$10</f>
        <v>23038.024799870902</v>
      </c>
      <c r="AE202" s="609">
        <f>J202*'Don gia XCSDL DC'!$K$11</f>
        <v>0</v>
      </c>
      <c r="AF202" s="609" t="e">
        <f>S202*'Don gia XCSDL DC'!#REF!</f>
        <v>#REF!</v>
      </c>
      <c r="AG202" s="609" t="e">
        <f>D202*'Don gia XCSDL DC'!#REF!</f>
        <v>#REF!</v>
      </c>
      <c r="AH202" s="609" t="e">
        <f>J202*'Don gia XCSDL DC'!#REF!</f>
        <v>#REF!</v>
      </c>
      <c r="AI202" s="609" t="e">
        <f>D202*'Don gia XCSDL DC'!#REF!</f>
        <v>#REF!</v>
      </c>
      <c r="AJ202" s="609">
        <f>S202*2*'Don gia XCSDL DC'!$K$24</f>
        <v>1543434136.1595819</v>
      </c>
      <c r="AK202" s="609" t="e">
        <f>S202*3*'Don gia XCSDL DC'!#REF!</f>
        <v>#REF!</v>
      </c>
      <c r="AL202" s="609" t="e">
        <f>(S202*2+S202*3)*('Don gia XCSDL DC'!#REF!+'Don gia XCSDL DC'!#REF!+'Don gia XCSDL DC'!#REF!)</f>
        <v>#REF!</v>
      </c>
      <c r="AM202" s="609" t="e">
        <f>O202*'Don gia XCSDL DC'!#REF!*50%</f>
        <v>#REF!</v>
      </c>
      <c r="AN202" s="609" t="e">
        <f>T202*'Don gia XCSDL DC'!#REF!*$AN$8</f>
        <v>#REF!</v>
      </c>
      <c r="AO202" s="609" t="e">
        <f>U202*'Don gia XCSDL DC'!#REF!*1</f>
        <v>#REF!</v>
      </c>
      <c r="AP202" s="609" t="e">
        <f>P202*X202*'Don gia XCSDL DC'!#REF!</f>
        <v>#REF!</v>
      </c>
      <c r="AQ202" s="609" t="e">
        <f>Q202*$AQ$8*'Don gia XCSDL DC'!#REF!</f>
        <v>#REF!</v>
      </c>
      <c r="AR202" s="609" t="e">
        <f>M202*$AR$8*'Don gia XCSDL DC'!#REF!</f>
        <v>#REF!</v>
      </c>
      <c r="AS202" s="609" t="e">
        <f>J202*'Don gia XCSDL DC'!#REF!</f>
        <v>#REF!</v>
      </c>
      <c r="AT202" s="609">
        <f>D202*'Don gia XCSDL DC'!$K$26</f>
        <v>0</v>
      </c>
      <c r="AU202" s="609">
        <f>J202*'Don gia XCSDL DC'!$K$34</f>
        <v>0</v>
      </c>
      <c r="AV202" s="609">
        <f>O202*'Don gia XCSDL DC'!$K$37</f>
        <v>0</v>
      </c>
      <c r="AW202" s="610" t="e">
        <f t="shared" si="80"/>
        <v>#REF!</v>
      </c>
      <c r="AX202" s="611" t="e">
        <f t="shared" si="81"/>
        <v>#REF!</v>
      </c>
      <c r="AY202" s="806" t="e">
        <f t="shared" si="116"/>
        <v>#REF!</v>
      </c>
      <c r="AZ202" s="612" t="e">
        <f>D202*'Don gia XCSDL DC'!#REF!</f>
        <v>#REF!</v>
      </c>
      <c r="BA202" s="613" t="e">
        <f>(Q202+M202)*'Don gia XCSDL DC'!#REF!</f>
        <v>#REF!</v>
      </c>
    </row>
    <row r="203" spans="1:53" ht="24.75" customHeight="1">
      <c r="A203" s="599"/>
      <c r="B203" s="445">
        <v>4</v>
      </c>
      <c r="C203" s="445" t="s">
        <v>462</v>
      </c>
      <c r="D203" s="600">
        <v>15</v>
      </c>
      <c r="E203" s="629">
        <v>14</v>
      </c>
      <c r="F203" s="601">
        <v>1</v>
      </c>
      <c r="G203" s="602">
        <v>1</v>
      </c>
      <c r="H203" s="601"/>
      <c r="I203" s="601"/>
      <c r="J203" s="604">
        <v>180870</v>
      </c>
      <c r="K203" s="604">
        <v>180870</v>
      </c>
      <c r="L203" s="604">
        <v>180870</v>
      </c>
      <c r="M203" s="605">
        <f>J203*10%</f>
        <v>18087</v>
      </c>
      <c r="N203" s="604">
        <f t="shared" si="110"/>
        <v>162783</v>
      </c>
      <c r="O203" s="604">
        <f t="shared" si="111"/>
        <v>154155.50099999999</v>
      </c>
      <c r="P203" s="604">
        <f t="shared" si="112"/>
        <v>126036.90099999998</v>
      </c>
      <c r="Q203" s="604">
        <f t="shared" si="113"/>
        <v>8627.4990000000107</v>
      </c>
      <c r="R203" s="604"/>
      <c r="S203" s="681">
        <f>149935*0.7</f>
        <v>104954.5</v>
      </c>
      <c r="T203" s="603">
        <f t="shared" si="117"/>
        <v>5247.7250000000004</v>
      </c>
      <c r="U203" s="670">
        <f>140593/5-T203</f>
        <v>22870.875</v>
      </c>
      <c r="V203" s="603">
        <f t="shared" si="114"/>
        <v>76835.899999999994</v>
      </c>
      <c r="W203" s="603"/>
      <c r="X203" s="607">
        <f t="shared" si="109"/>
        <v>0.68600689257146863</v>
      </c>
      <c r="Y203" s="608">
        <f t="shared" si="115"/>
        <v>1259454</v>
      </c>
      <c r="AA203" s="609">
        <f>D203*'Don gia XCSDL DC'!$K$8</f>
        <v>6918.9011215142309</v>
      </c>
      <c r="AB203" s="609">
        <f>D203*'Don gia XCSDL DC'!$K$9</f>
        <v>6601.4752465142319</v>
      </c>
      <c r="AC203" s="609" t="e">
        <f>D203*'Don gia XCSDL DC'!#REF!</f>
        <v>#REF!</v>
      </c>
      <c r="AD203" s="609">
        <f>D203*'Don gia XCSDL DC'!$K$10</f>
        <v>26582.336307543348</v>
      </c>
      <c r="AE203" s="609">
        <f>J203*'Don gia XCSDL DC'!$K$11</f>
        <v>0</v>
      </c>
      <c r="AF203" s="609" t="e">
        <f>S203*'Don gia XCSDL DC'!#REF!</f>
        <v>#REF!</v>
      </c>
      <c r="AG203" s="609" t="e">
        <f>D203*'Don gia XCSDL DC'!#REF!</f>
        <v>#REF!</v>
      </c>
      <c r="AH203" s="609" t="e">
        <f>J203*'Don gia XCSDL DC'!#REF!</f>
        <v>#REF!</v>
      </c>
      <c r="AI203" s="609" t="e">
        <f>D203*'Don gia XCSDL DC'!#REF!</f>
        <v>#REF!</v>
      </c>
      <c r="AJ203" s="609">
        <f>S203*2*'Don gia XCSDL DC'!$K$24</f>
        <v>1794845363.1350155</v>
      </c>
      <c r="AK203" s="609" t="e">
        <f>S203*3*'Don gia XCSDL DC'!#REF!</f>
        <v>#REF!</v>
      </c>
      <c r="AL203" s="609" t="e">
        <f>(S203*2+S203*3)*('Don gia XCSDL DC'!#REF!+'Don gia XCSDL DC'!#REF!+'Don gia XCSDL DC'!#REF!)</f>
        <v>#REF!</v>
      </c>
      <c r="AM203" s="609" t="e">
        <f>O203*'Don gia XCSDL DC'!#REF!*50%</f>
        <v>#REF!</v>
      </c>
      <c r="AN203" s="609" t="e">
        <f>T203*'Don gia XCSDL DC'!#REF!*$AN$8</f>
        <v>#REF!</v>
      </c>
      <c r="AO203" s="609" t="e">
        <f>U203*'Don gia XCSDL DC'!#REF!*1</f>
        <v>#REF!</v>
      </c>
      <c r="AP203" s="609" t="e">
        <f>P203*X203*'Don gia XCSDL DC'!#REF!</f>
        <v>#REF!</v>
      </c>
      <c r="AQ203" s="609" t="e">
        <f>Q203*$AQ$8*'Don gia XCSDL DC'!#REF!</f>
        <v>#REF!</v>
      </c>
      <c r="AR203" s="609" t="e">
        <f>M203*$AR$8*'Don gia XCSDL DC'!#REF!</f>
        <v>#REF!</v>
      </c>
      <c r="AS203" s="609" t="e">
        <f>J203*'Don gia XCSDL DC'!#REF!</f>
        <v>#REF!</v>
      </c>
      <c r="AT203" s="609">
        <f>D203*'Don gia XCSDL DC'!$K$26</f>
        <v>0</v>
      </c>
      <c r="AU203" s="609">
        <f>J203*'Don gia XCSDL DC'!$K$34</f>
        <v>0</v>
      </c>
      <c r="AV203" s="609">
        <f>O203*'Don gia XCSDL DC'!$K$37</f>
        <v>0</v>
      </c>
      <c r="AW203" s="610" t="e">
        <f t="shared" si="80"/>
        <v>#REF!</v>
      </c>
      <c r="AX203" s="611" t="e">
        <f t="shared" si="81"/>
        <v>#REF!</v>
      </c>
      <c r="AY203" s="806" t="e">
        <f t="shared" si="116"/>
        <v>#REF!</v>
      </c>
      <c r="AZ203" s="612" t="e">
        <f>D203*'Don gia XCSDL DC'!#REF!</f>
        <v>#REF!</v>
      </c>
      <c r="BA203" s="613" t="e">
        <f>(Q203+M203)*'Don gia XCSDL DC'!#REF!</f>
        <v>#REF!</v>
      </c>
    </row>
    <row r="204" spans="1:53" ht="24.75" customHeight="1">
      <c r="A204" s="599"/>
      <c r="B204" s="445">
        <v>5</v>
      </c>
      <c r="C204" s="445" t="s">
        <v>463</v>
      </c>
      <c r="D204" s="600">
        <v>25</v>
      </c>
      <c r="E204" s="601">
        <v>25</v>
      </c>
      <c r="F204" s="601">
        <v>1</v>
      </c>
      <c r="G204" s="602">
        <v>1</v>
      </c>
      <c r="H204" s="601"/>
      <c r="I204" s="601"/>
      <c r="J204" s="604">
        <v>183160</v>
      </c>
      <c r="K204" s="604">
        <v>183160</v>
      </c>
      <c r="L204" s="604">
        <v>183160</v>
      </c>
      <c r="M204" s="605">
        <f>J204*10%</f>
        <v>18316</v>
      </c>
      <c r="N204" s="604">
        <f t="shared" si="110"/>
        <v>164844</v>
      </c>
      <c r="O204" s="604">
        <f t="shared" si="111"/>
        <v>156107.26799999998</v>
      </c>
      <c r="P204" s="604">
        <f t="shared" si="112"/>
        <v>121119.46799999998</v>
      </c>
      <c r="Q204" s="604">
        <f t="shared" si="113"/>
        <v>8736.7320000000182</v>
      </c>
      <c r="R204" s="604"/>
      <c r="S204" s="604">
        <f>151957*0.7</f>
        <v>106369.9</v>
      </c>
      <c r="T204" s="603">
        <f t="shared" si="117"/>
        <v>5318.4949999999999</v>
      </c>
      <c r="U204" s="670">
        <f>174939/5-T204</f>
        <v>29669.305000000004</v>
      </c>
      <c r="V204" s="603">
        <f t="shared" si="114"/>
        <v>71382.099999999991</v>
      </c>
      <c r="W204" s="603"/>
      <c r="X204" s="607">
        <f t="shared" si="109"/>
        <v>0.66969683332751306</v>
      </c>
      <c r="Y204" s="608">
        <f t="shared" si="115"/>
        <v>1276438.7999999998</v>
      </c>
      <c r="AA204" s="609">
        <f>D204*'Don gia XCSDL DC'!$K$8</f>
        <v>11531.501869190384</v>
      </c>
      <c r="AB204" s="609">
        <f>D204*'Don gia XCSDL DC'!$K$9</f>
        <v>11002.458744190386</v>
      </c>
      <c r="AC204" s="609" t="e">
        <f>D204*'Don gia XCSDL DC'!#REF!</f>
        <v>#REF!</v>
      </c>
      <c r="AD204" s="609">
        <f>D204*'Don gia XCSDL DC'!$K$10</f>
        <v>44303.893845905586</v>
      </c>
      <c r="AE204" s="609">
        <f>J204*'Don gia XCSDL DC'!$K$11</f>
        <v>0</v>
      </c>
      <c r="AF204" s="609" t="e">
        <f>S204*'Don gia XCSDL DC'!#REF!</f>
        <v>#REF!</v>
      </c>
      <c r="AG204" s="609" t="e">
        <f>D204*'Don gia XCSDL DC'!#REF!</f>
        <v>#REF!</v>
      </c>
      <c r="AH204" s="609" t="e">
        <f>J204*'Don gia XCSDL DC'!#REF!</f>
        <v>#REF!</v>
      </c>
      <c r="AI204" s="609" t="e">
        <f>D204*'Don gia XCSDL DC'!#REF!</f>
        <v>#REF!</v>
      </c>
      <c r="AJ204" s="609">
        <f>S204*2*'Don gia XCSDL DC'!$K$24</f>
        <v>1819050367.4652851</v>
      </c>
      <c r="AK204" s="609" t="e">
        <f>S204*3*'Don gia XCSDL DC'!#REF!</f>
        <v>#REF!</v>
      </c>
      <c r="AL204" s="609" t="e">
        <f>(S204*2+S204*3)*('Don gia XCSDL DC'!#REF!+'Don gia XCSDL DC'!#REF!+'Don gia XCSDL DC'!#REF!)</f>
        <v>#REF!</v>
      </c>
      <c r="AM204" s="609" t="e">
        <f>O204*'Don gia XCSDL DC'!#REF!*50%</f>
        <v>#REF!</v>
      </c>
      <c r="AN204" s="609" t="e">
        <f>T204*'Don gia XCSDL DC'!#REF!*$AN$8</f>
        <v>#REF!</v>
      </c>
      <c r="AO204" s="609" t="e">
        <f>U204*'Don gia XCSDL DC'!#REF!*1</f>
        <v>#REF!</v>
      </c>
      <c r="AP204" s="609" t="e">
        <f>P204*X204*'Don gia XCSDL DC'!#REF!</f>
        <v>#REF!</v>
      </c>
      <c r="AQ204" s="609" t="e">
        <f>Q204*$AQ$8*'Don gia XCSDL DC'!#REF!</f>
        <v>#REF!</v>
      </c>
      <c r="AR204" s="609" t="e">
        <f>M204*$AR$8*'Don gia XCSDL DC'!#REF!</f>
        <v>#REF!</v>
      </c>
      <c r="AS204" s="609" t="e">
        <f>J204*'Don gia XCSDL DC'!#REF!</f>
        <v>#REF!</v>
      </c>
      <c r="AT204" s="609">
        <f>D204*'Don gia XCSDL DC'!$K$26</f>
        <v>0</v>
      </c>
      <c r="AU204" s="609">
        <f>J204*'Don gia XCSDL DC'!$K$34</f>
        <v>0</v>
      </c>
      <c r="AV204" s="609">
        <f>O204*'Don gia XCSDL DC'!$K$37</f>
        <v>0</v>
      </c>
      <c r="AW204" s="610" t="e">
        <f t="shared" si="80"/>
        <v>#REF!</v>
      </c>
      <c r="AX204" s="611" t="e">
        <f t="shared" si="81"/>
        <v>#REF!</v>
      </c>
      <c r="AY204" s="806" t="e">
        <f t="shared" si="116"/>
        <v>#REF!</v>
      </c>
      <c r="AZ204" s="612" t="e">
        <f>D204*'Don gia XCSDL DC'!#REF!</f>
        <v>#REF!</v>
      </c>
      <c r="BA204" s="613" t="e">
        <f>(Q204+M204)*'Don gia XCSDL DC'!#REF!</f>
        <v>#REF!</v>
      </c>
    </row>
    <row r="205" spans="1:53" ht="24.75" customHeight="1">
      <c r="A205" s="599"/>
      <c r="B205" s="445">
        <v>6</v>
      </c>
      <c r="C205" s="445" t="s">
        <v>464</v>
      </c>
      <c r="D205" s="600">
        <v>14</v>
      </c>
      <c r="E205" s="601">
        <v>14</v>
      </c>
      <c r="F205" s="601">
        <v>1</v>
      </c>
      <c r="G205" s="602">
        <v>1</v>
      </c>
      <c r="H205" s="601"/>
      <c r="I205" s="601"/>
      <c r="J205" s="604">
        <v>140752</v>
      </c>
      <c r="K205" s="604"/>
      <c r="L205" s="604">
        <f>60376/4*8+10000</f>
        <v>130752</v>
      </c>
      <c r="M205" s="605">
        <f>J205*5%</f>
        <v>7037.6</v>
      </c>
      <c r="N205" s="604">
        <f t="shared" si="110"/>
        <v>133714.4</v>
      </c>
      <c r="O205" s="604">
        <f t="shared" si="111"/>
        <v>126627.53679999999</v>
      </c>
      <c r="P205" s="604">
        <f t="shared" si="112"/>
        <v>81064.203466666659</v>
      </c>
      <c r="Q205" s="604">
        <f t="shared" si="113"/>
        <v>7086.8632000000071</v>
      </c>
      <c r="R205" s="604"/>
      <c r="S205" s="604">
        <f>119630*0.7</f>
        <v>83741</v>
      </c>
      <c r="T205" s="603">
        <f t="shared" si="117"/>
        <v>4187.05</v>
      </c>
      <c r="U205" s="670">
        <f>68345/1.5-T205</f>
        <v>41376.283333333333</v>
      </c>
      <c r="V205" s="603">
        <f t="shared" si="114"/>
        <v>38177.666666666664</v>
      </c>
      <c r="W205" s="603"/>
      <c r="X205" s="607">
        <f t="shared" si="109"/>
        <v>0.57446454577620343</v>
      </c>
      <c r="Y205" s="608">
        <f t="shared" si="115"/>
        <v>1004892</v>
      </c>
      <c r="AA205" s="609">
        <f>D205*'Don gia XCSDL DC'!$K$8</f>
        <v>6457.6410467466158</v>
      </c>
      <c r="AB205" s="609">
        <f>D205*'Don gia XCSDL DC'!$K$9</f>
        <v>6161.3768967466167</v>
      </c>
      <c r="AC205" s="609" t="e">
        <f>D205*'Don gia XCSDL DC'!#REF!</f>
        <v>#REF!</v>
      </c>
      <c r="AD205" s="609">
        <f>D205*'Don gia XCSDL DC'!$K$10</f>
        <v>24810.180553707127</v>
      </c>
      <c r="AE205" s="609">
        <f>J205*'Don gia XCSDL DC'!$K$11</f>
        <v>0</v>
      </c>
      <c r="AF205" s="609" t="e">
        <f>S205*'Don gia XCSDL DC'!#REF!</f>
        <v>#REF!</v>
      </c>
      <c r="AG205" s="609" t="e">
        <f>D205*'Don gia XCSDL DC'!#REF!</f>
        <v>#REF!</v>
      </c>
      <c r="AH205" s="609" t="e">
        <f>J205*'Don gia XCSDL DC'!#REF!</f>
        <v>#REF!</v>
      </c>
      <c r="AI205" s="609" t="e">
        <f>D205*'Don gia XCSDL DC'!#REF!</f>
        <v>#REF!</v>
      </c>
      <c r="AJ205" s="609">
        <f>S205*2*'Don gia XCSDL DC'!$K$24</f>
        <v>1432069568.7587414</v>
      </c>
      <c r="AK205" s="609" t="e">
        <f>S205*3*'Don gia XCSDL DC'!#REF!</f>
        <v>#REF!</v>
      </c>
      <c r="AL205" s="609" t="e">
        <f>(S205*2+S205*3)*('Don gia XCSDL DC'!#REF!+'Don gia XCSDL DC'!#REF!+'Don gia XCSDL DC'!#REF!)</f>
        <v>#REF!</v>
      </c>
      <c r="AM205" s="609" t="e">
        <f>O205*'Don gia XCSDL DC'!#REF!*50%</f>
        <v>#REF!</v>
      </c>
      <c r="AN205" s="609" t="e">
        <f>T205*'Don gia XCSDL DC'!#REF!*$AN$8</f>
        <v>#REF!</v>
      </c>
      <c r="AO205" s="609" t="e">
        <f>U205*'Don gia XCSDL DC'!#REF!*1</f>
        <v>#REF!</v>
      </c>
      <c r="AP205" s="609" t="e">
        <f>P205*X205*'Don gia XCSDL DC'!#REF!</f>
        <v>#REF!</v>
      </c>
      <c r="AQ205" s="609" t="e">
        <f>Q205*$AQ$8*'Don gia XCSDL DC'!#REF!</f>
        <v>#REF!</v>
      </c>
      <c r="AR205" s="609" t="e">
        <f>M205*$AR$8*'Don gia XCSDL DC'!#REF!</f>
        <v>#REF!</v>
      </c>
      <c r="AS205" s="609" t="e">
        <f>J205*'Don gia XCSDL DC'!#REF!</f>
        <v>#REF!</v>
      </c>
      <c r="AT205" s="609">
        <f>D205*'Don gia XCSDL DC'!$K$26</f>
        <v>0</v>
      </c>
      <c r="AU205" s="609">
        <f>J205*'Don gia XCSDL DC'!$K$34</f>
        <v>0</v>
      </c>
      <c r="AV205" s="609">
        <f>O205*'Don gia XCSDL DC'!$K$37</f>
        <v>0</v>
      </c>
      <c r="AW205" s="610" t="e">
        <f t="shared" si="80"/>
        <v>#REF!</v>
      </c>
      <c r="AX205" s="611" t="e">
        <f t="shared" si="81"/>
        <v>#REF!</v>
      </c>
      <c r="AY205" s="806" t="e">
        <f t="shared" si="116"/>
        <v>#REF!</v>
      </c>
      <c r="AZ205" s="612" t="e">
        <f>D205*'Don gia XCSDL DC'!#REF!</f>
        <v>#REF!</v>
      </c>
      <c r="BA205" s="613" t="e">
        <f>(Q205+M205)*'Don gia XCSDL DC'!#REF!</f>
        <v>#REF!</v>
      </c>
    </row>
    <row r="206" spans="1:53" ht="24.75" customHeight="1">
      <c r="A206" s="599"/>
      <c r="B206" s="445">
        <v>7</v>
      </c>
      <c r="C206" s="445" t="s">
        <v>465</v>
      </c>
      <c r="D206" s="600">
        <v>9</v>
      </c>
      <c r="E206" s="601">
        <v>9</v>
      </c>
      <c r="F206" s="601">
        <v>1</v>
      </c>
      <c r="G206" s="602">
        <v>1</v>
      </c>
      <c r="H206" s="601"/>
      <c r="I206" s="601"/>
      <c r="J206" s="604">
        <v>36184</v>
      </c>
      <c r="K206" s="604"/>
      <c r="L206" s="604">
        <f>18092/4*8</f>
        <v>36184</v>
      </c>
      <c r="M206" s="605">
        <f>J206*10%</f>
        <v>3618.4</v>
      </c>
      <c r="N206" s="604">
        <f t="shared" si="110"/>
        <v>32565.599999999999</v>
      </c>
      <c r="O206" s="604">
        <f t="shared" si="111"/>
        <v>30839.623199999998</v>
      </c>
      <c r="P206" s="604">
        <f t="shared" si="112"/>
        <v>27221.2232</v>
      </c>
      <c r="Q206" s="604">
        <f t="shared" si="113"/>
        <v>1725.9768000000004</v>
      </c>
      <c r="R206" s="604"/>
      <c r="S206" s="604">
        <v>14891</v>
      </c>
      <c r="T206" s="604">
        <f t="shared" si="117"/>
        <v>744.55000000000007</v>
      </c>
      <c r="U206" s="665">
        <f>18092/5-T206</f>
        <v>2873.85</v>
      </c>
      <c r="V206" s="604">
        <f t="shared" si="114"/>
        <v>11272.6</v>
      </c>
      <c r="W206" s="604"/>
      <c r="X206" s="607">
        <f t="shared" si="109"/>
        <v>0.52874122129824053</v>
      </c>
      <c r="Y206" s="608">
        <f t="shared" si="115"/>
        <v>178692</v>
      </c>
      <c r="AA206" s="609">
        <f>D206*'Don gia XCSDL DC'!$K$8</f>
        <v>4151.3406729085382</v>
      </c>
      <c r="AB206" s="609">
        <f>D206*'Don gia XCSDL DC'!$K$9</f>
        <v>3960.8851479085388</v>
      </c>
      <c r="AC206" s="609" t="e">
        <f>D206*'Don gia XCSDL DC'!#REF!</f>
        <v>#REF!</v>
      </c>
      <c r="AD206" s="609">
        <f>D206*'Don gia XCSDL DC'!$K$10</f>
        <v>15949.40178452601</v>
      </c>
      <c r="AE206" s="609">
        <f>J206*'Don gia XCSDL DC'!$K$11</f>
        <v>0</v>
      </c>
      <c r="AF206" s="609" t="e">
        <f>S206*'Don gia XCSDL DC'!#REF!</f>
        <v>#REF!</v>
      </c>
      <c r="AG206" s="609" t="e">
        <f>D206*'Don gia XCSDL DC'!#REF!</f>
        <v>#REF!</v>
      </c>
      <c r="AH206" s="609" t="e">
        <f>J206*'Don gia XCSDL DC'!#REF!</f>
        <v>#REF!</v>
      </c>
      <c r="AI206" s="609" t="e">
        <f>D206*'Don gia XCSDL DC'!#REF!</f>
        <v>#REF!</v>
      </c>
      <c r="AJ206" s="609">
        <f>S206*2*'Don gia XCSDL DC'!$K$24</f>
        <v>254653609.92090395</v>
      </c>
      <c r="AK206" s="609" t="e">
        <f>S206*3*'Don gia XCSDL DC'!#REF!</f>
        <v>#REF!</v>
      </c>
      <c r="AL206" s="609" t="e">
        <f>(S206*2+S206*3)*('Don gia XCSDL DC'!#REF!+'Don gia XCSDL DC'!#REF!+'Don gia XCSDL DC'!#REF!)</f>
        <v>#REF!</v>
      </c>
      <c r="AM206" s="609" t="e">
        <f>O206*'Don gia XCSDL DC'!#REF!*50%</f>
        <v>#REF!</v>
      </c>
      <c r="AN206" s="609" t="e">
        <f>T206*'Don gia XCSDL DC'!#REF!*$AN$8</f>
        <v>#REF!</v>
      </c>
      <c r="AO206" s="609" t="e">
        <f>U206*'Don gia XCSDL DC'!#REF!*1</f>
        <v>#REF!</v>
      </c>
      <c r="AP206" s="609" t="e">
        <f>P206*X206*'Don gia XCSDL DC'!#REF!</f>
        <v>#REF!</v>
      </c>
      <c r="AQ206" s="609" t="e">
        <f>Q206*$AQ$8*'Don gia XCSDL DC'!#REF!</f>
        <v>#REF!</v>
      </c>
      <c r="AR206" s="609" t="e">
        <f>M206*$AR$8*'Don gia XCSDL DC'!#REF!</f>
        <v>#REF!</v>
      </c>
      <c r="AS206" s="609" t="e">
        <f>J206*'Don gia XCSDL DC'!#REF!</f>
        <v>#REF!</v>
      </c>
      <c r="AT206" s="609">
        <f>D206*'Don gia XCSDL DC'!$K$26</f>
        <v>0</v>
      </c>
      <c r="AU206" s="609">
        <f>J206*'Don gia XCSDL DC'!$K$34</f>
        <v>0</v>
      </c>
      <c r="AV206" s="609">
        <f>O206*'Don gia XCSDL DC'!$K$37</f>
        <v>0</v>
      </c>
      <c r="AW206" s="610" t="e">
        <f t="shared" si="80"/>
        <v>#REF!</v>
      </c>
      <c r="AX206" s="611" t="e">
        <f t="shared" si="81"/>
        <v>#REF!</v>
      </c>
      <c r="AY206" s="806" t="e">
        <f t="shared" si="116"/>
        <v>#REF!</v>
      </c>
      <c r="AZ206" s="612" t="e">
        <f>D206*'Don gia XCSDL DC'!#REF!</f>
        <v>#REF!</v>
      </c>
      <c r="BA206" s="613" t="e">
        <f>(Q206+M206)*'Don gia XCSDL DC'!#REF!</f>
        <v>#REF!</v>
      </c>
    </row>
    <row r="207" spans="1:53" ht="24.75" customHeight="1">
      <c r="A207" s="599"/>
      <c r="B207" s="445">
        <v>8</v>
      </c>
      <c r="C207" s="445" t="s">
        <v>466</v>
      </c>
      <c r="D207" s="600">
        <v>9</v>
      </c>
      <c r="E207" s="601">
        <v>9</v>
      </c>
      <c r="F207" s="601">
        <v>1</v>
      </c>
      <c r="G207" s="602">
        <v>1</v>
      </c>
      <c r="H207" s="601"/>
      <c r="I207" s="601"/>
      <c r="J207" s="604">
        <v>35596</v>
      </c>
      <c r="K207" s="604"/>
      <c r="L207" s="604">
        <f>17798/4*8</f>
        <v>35596</v>
      </c>
      <c r="M207" s="605">
        <f>J207*10%</f>
        <v>3559.6000000000004</v>
      </c>
      <c r="N207" s="604">
        <f t="shared" si="110"/>
        <v>32036.400000000001</v>
      </c>
      <c r="O207" s="604">
        <f t="shared" si="111"/>
        <v>30338.470799999999</v>
      </c>
      <c r="P207" s="604">
        <f t="shared" si="112"/>
        <v>21439.470799999999</v>
      </c>
      <c r="Q207" s="604">
        <f t="shared" si="113"/>
        <v>1697.9292000000023</v>
      </c>
      <c r="R207" s="604"/>
      <c r="S207" s="604">
        <v>15064</v>
      </c>
      <c r="T207" s="604">
        <f t="shared" si="117"/>
        <v>753.2</v>
      </c>
      <c r="U207" s="665">
        <f>17798/2-T207</f>
        <v>8145.8</v>
      </c>
      <c r="V207" s="604">
        <f t="shared" si="114"/>
        <v>6164.9999999999991</v>
      </c>
      <c r="W207" s="604"/>
      <c r="X207" s="607">
        <f t="shared" si="109"/>
        <v>0.42694539910897911</v>
      </c>
      <c r="Y207" s="608">
        <f t="shared" si="115"/>
        <v>180768</v>
      </c>
      <c r="AA207" s="609">
        <f>D207*'Don gia XCSDL DC'!$K$8</f>
        <v>4151.3406729085382</v>
      </c>
      <c r="AB207" s="609">
        <f>D207*'Don gia XCSDL DC'!$K$9</f>
        <v>3960.8851479085388</v>
      </c>
      <c r="AC207" s="609" t="e">
        <f>D207*'Don gia XCSDL DC'!#REF!</f>
        <v>#REF!</v>
      </c>
      <c r="AD207" s="609">
        <f>D207*'Don gia XCSDL DC'!$K$10</f>
        <v>15949.40178452601</v>
      </c>
      <c r="AE207" s="609">
        <f>J207*'Don gia XCSDL DC'!$K$11</f>
        <v>0</v>
      </c>
      <c r="AF207" s="609" t="e">
        <f>S207*'Don gia XCSDL DC'!#REF!</f>
        <v>#REF!</v>
      </c>
      <c r="AG207" s="609" t="e">
        <f>D207*'Don gia XCSDL DC'!#REF!</f>
        <v>#REF!</v>
      </c>
      <c r="AH207" s="609" t="e">
        <f>J207*'Don gia XCSDL DC'!#REF!</f>
        <v>#REF!</v>
      </c>
      <c r="AI207" s="609" t="e">
        <f>D207*'Don gia XCSDL DC'!#REF!</f>
        <v>#REF!</v>
      </c>
      <c r="AJ207" s="609">
        <f>S207*2*'Don gia XCSDL DC'!$K$24</f>
        <v>257612113.3468872</v>
      </c>
      <c r="AK207" s="609" t="e">
        <f>S207*3*'Don gia XCSDL DC'!#REF!</f>
        <v>#REF!</v>
      </c>
      <c r="AL207" s="609" t="e">
        <f>(S207*2+S207*3)*('Don gia XCSDL DC'!#REF!+'Don gia XCSDL DC'!#REF!+'Don gia XCSDL DC'!#REF!)</f>
        <v>#REF!</v>
      </c>
      <c r="AM207" s="609" t="e">
        <f>O207*'Don gia XCSDL DC'!#REF!*50%</f>
        <v>#REF!</v>
      </c>
      <c r="AN207" s="609" t="e">
        <f>T207*'Don gia XCSDL DC'!#REF!*$AN$8</f>
        <v>#REF!</v>
      </c>
      <c r="AO207" s="609" t="e">
        <f>U207*'Don gia XCSDL DC'!#REF!*1</f>
        <v>#REF!</v>
      </c>
      <c r="AP207" s="609" t="e">
        <f>P207*X207*'Don gia XCSDL DC'!#REF!</f>
        <v>#REF!</v>
      </c>
      <c r="AQ207" s="609" t="e">
        <f>Q207*$AQ$8*'Don gia XCSDL DC'!#REF!</f>
        <v>#REF!</v>
      </c>
      <c r="AR207" s="609" t="e">
        <f>M207*$AR$8*'Don gia XCSDL DC'!#REF!</f>
        <v>#REF!</v>
      </c>
      <c r="AS207" s="609" t="e">
        <f>J207*'Don gia XCSDL DC'!#REF!</f>
        <v>#REF!</v>
      </c>
      <c r="AT207" s="609">
        <f>D207*'Don gia XCSDL DC'!$K$26</f>
        <v>0</v>
      </c>
      <c r="AU207" s="609">
        <f>J207*'Don gia XCSDL DC'!$K$34</f>
        <v>0</v>
      </c>
      <c r="AV207" s="609">
        <f>O207*'Don gia XCSDL DC'!$K$37</f>
        <v>0</v>
      </c>
      <c r="AW207" s="610" t="e">
        <f t="shared" si="80"/>
        <v>#REF!</v>
      </c>
      <c r="AX207" s="611" t="e">
        <f t="shared" si="81"/>
        <v>#REF!</v>
      </c>
      <c r="AY207" s="806" t="e">
        <f t="shared" si="116"/>
        <v>#REF!</v>
      </c>
      <c r="AZ207" s="612" t="e">
        <f>D207*'Don gia XCSDL DC'!#REF!</f>
        <v>#REF!</v>
      </c>
      <c r="BA207" s="613" t="e">
        <f>(Q207+M207)*'Don gia XCSDL DC'!#REF!</f>
        <v>#REF!</v>
      </c>
    </row>
    <row r="208" spans="1:53" s="723" customFormat="1" ht="24.75" customHeight="1">
      <c r="A208" s="712"/>
      <c r="B208" s="713"/>
      <c r="C208" s="713" t="s">
        <v>467</v>
      </c>
      <c r="D208" s="714">
        <v>10</v>
      </c>
      <c r="E208" s="715">
        <v>10</v>
      </c>
      <c r="F208" s="715"/>
      <c r="G208" s="715">
        <v>1</v>
      </c>
      <c r="H208" s="715"/>
      <c r="I208" s="715"/>
      <c r="J208" s="718">
        <v>33403</v>
      </c>
      <c r="K208" s="716"/>
      <c r="L208" s="756">
        <v>33403</v>
      </c>
      <c r="M208" s="719"/>
      <c r="N208" s="718"/>
      <c r="O208" s="718"/>
      <c r="P208" s="718"/>
      <c r="Q208" s="718"/>
      <c r="R208" s="718"/>
      <c r="S208" s="718"/>
      <c r="T208" s="718"/>
      <c r="U208" s="773"/>
      <c r="V208" s="718"/>
      <c r="W208" s="718"/>
      <c r="X208" s="721"/>
      <c r="Y208" s="722"/>
      <c r="AA208" s="609"/>
      <c r="AB208" s="609"/>
      <c r="AC208" s="609"/>
      <c r="AD208" s="724"/>
      <c r="AE208" s="724"/>
      <c r="AF208" s="724"/>
      <c r="AG208" s="724"/>
      <c r="AH208" s="724"/>
      <c r="AI208" s="724"/>
      <c r="AJ208" s="724"/>
      <c r="AK208" s="724"/>
      <c r="AL208" s="724"/>
      <c r="AM208" s="724"/>
      <c r="AN208" s="724"/>
      <c r="AO208" s="724"/>
      <c r="AP208" s="724"/>
      <c r="AQ208" s="724"/>
      <c r="AR208" s="724"/>
      <c r="AS208" s="724"/>
      <c r="AT208" s="724"/>
      <c r="AU208" s="724"/>
      <c r="AV208" s="609"/>
      <c r="AW208" s="610"/>
      <c r="AX208" s="611"/>
      <c r="AY208" s="807"/>
      <c r="AZ208" s="612"/>
      <c r="BA208" s="613"/>
    </row>
    <row r="209" spans="1:53" s="723" customFormat="1" ht="24.75" customHeight="1">
      <c r="A209" s="712"/>
      <c r="B209" s="713"/>
      <c r="C209" s="713" t="s">
        <v>468</v>
      </c>
      <c r="D209" s="714">
        <v>15</v>
      </c>
      <c r="E209" s="715">
        <v>15</v>
      </c>
      <c r="F209" s="715"/>
      <c r="G209" s="715">
        <v>1</v>
      </c>
      <c r="H209" s="715"/>
      <c r="I209" s="715"/>
      <c r="J209" s="718">
        <v>135768</v>
      </c>
      <c r="K209" s="716"/>
      <c r="L209" s="756">
        <v>135768</v>
      </c>
      <c r="M209" s="719"/>
      <c r="N209" s="718"/>
      <c r="O209" s="718"/>
      <c r="P209" s="718"/>
      <c r="Q209" s="718"/>
      <c r="R209" s="718"/>
      <c r="S209" s="718"/>
      <c r="T209" s="718"/>
      <c r="U209" s="730"/>
      <c r="V209" s="718"/>
      <c r="W209" s="718"/>
      <c r="X209" s="721"/>
      <c r="Y209" s="722"/>
      <c r="AA209" s="609"/>
      <c r="AB209" s="609"/>
      <c r="AC209" s="609"/>
      <c r="AD209" s="724"/>
      <c r="AE209" s="724"/>
      <c r="AF209" s="724"/>
      <c r="AG209" s="724"/>
      <c r="AH209" s="724"/>
      <c r="AI209" s="724"/>
      <c r="AJ209" s="724"/>
      <c r="AK209" s="724"/>
      <c r="AL209" s="724"/>
      <c r="AM209" s="724"/>
      <c r="AN209" s="724"/>
      <c r="AO209" s="724"/>
      <c r="AP209" s="724"/>
      <c r="AQ209" s="724"/>
      <c r="AR209" s="724"/>
      <c r="AS209" s="724"/>
      <c r="AT209" s="724"/>
      <c r="AU209" s="724"/>
      <c r="AV209" s="609"/>
      <c r="AW209" s="610"/>
      <c r="AX209" s="611"/>
      <c r="AY209" s="807"/>
      <c r="AZ209" s="612"/>
      <c r="BA209" s="613"/>
    </row>
    <row r="210" spans="1:53" s="723" customFormat="1" ht="24.75" customHeight="1">
      <c r="A210" s="712"/>
      <c r="B210" s="713"/>
      <c r="C210" s="713" t="s">
        <v>469</v>
      </c>
      <c r="D210" s="714">
        <v>5</v>
      </c>
      <c r="E210" s="715">
        <v>5</v>
      </c>
      <c r="F210" s="715"/>
      <c r="G210" s="715">
        <v>1</v>
      </c>
      <c r="H210" s="715"/>
      <c r="I210" s="715"/>
      <c r="J210" s="718">
        <v>38042</v>
      </c>
      <c r="K210" s="716"/>
      <c r="L210" s="756">
        <v>38042</v>
      </c>
      <c r="M210" s="719"/>
      <c r="N210" s="718"/>
      <c r="O210" s="718"/>
      <c r="P210" s="718"/>
      <c r="Q210" s="718"/>
      <c r="R210" s="718"/>
      <c r="S210" s="718"/>
      <c r="T210" s="718"/>
      <c r="U210" s="730"/>
      <c r="V210" s="718"/>
      <c r="W210" s="718"/>
      <c r="X210" s="721"/>
      <c r="Y210" s="722"/>
      <c r="AA210" s="609"/>
      <c r="AB210" s="609"/>
      <c r="AC210" s="609"/>
      <c r="AD210" s="724"/>
      <c r="AE210" s="724"/>
      <c r="AF210" s="724"/>
      <c r="AG210" s="724"/>
      <c r="AH210" s="724"/>
      <c r="AI210" s="724"/>
      <c r="AJ210" s="724"/>
      <c r="AK210" s="724"/>
      <c r="AL210" s="724"/>
      <c r="AM210" s="724"/>
      <c r="AN210" s="724"/>
      <c r="AO210" s="724"/>
      <c r="AP210" s="724"/>
      <c r="AQ210" s="724"/>
      <c r="AR210" s="724"/>
      <c r="AS210" s="724"/>
      <c r="AT210" s="724"/>
      <c r="AU210" s="724"/>
      <c r="AV210" s="609"/>
      <c r="AW210" s="610"/>
      <c r="AX210" s="611"/>
      <c r="AY210" s="807"/>
      <c r="AZ210" s="612"/>
      <c r="BA210" s="613"/>
    </row>
    <row r="211" spans="1:53" s="723" customFormat="1" ht="24.75" customHeight="1">
      <c r="A211" s="712"/>
      <c r="B211" s="713"/>
      <c r="C211" s="713" t="s">
        <v>470</v>
      </c>
      <c r="D211" s="714">
        <v>12</v>
      </c>
      <c r="E211" s="715">
        <v>12</v>
      </c>
      <c r="F211" s="715"/>
      <c r="G211" s="715">
        <v>1</v>
      </c>
      <c r="H211" s="715"/>
      <c r="I211" s="715"/>
      <c r="J211" s="718">
        <v>83213</v>
      </c>
      <c r="K211" s="716"/>
      <c r="L211" s="756">
        <v>83213</v>
      </c>
      <c r="M211" s="719"/>
      <c r="N211" s="718"/>
      <c r="O211" s="718"/>
      <c r="P211" s="718"/>
      <c r="Q211" s="718"/>
      <c r="R211" s="718"/>
      <c r="S211" s="718"/>
      <c r="T211" s="718"/>
      <c r="U211" s="730"/>
      <c r="V211" s="718"/>
      <c r="W211" s="718"/>
      <c r="X211" s="721"/>
      <c r="Y211" s="722"/>
      <c r="AA211" s="609"/>
      <c r="AB211" s="609"/>
      <c r="AC211" s="609"/>
      <c r="AD211" s="724"/>
      <c r="AE211" s="724"/>
      <c r="AF211" s="724"/>
      <c r="AG211" s="724"/>
      <c r="AH211" s="724"/>
      <c r="AI211" s="724"/>
      <c r="AJ211" s="724"/>
      <c r="AK211" s="724"/>
      <c r="AL211" s="724"/>
      <c r="AM211" s="724"/>
      <c r="AN211" s="724"/>
      <c r="AO211" s="724"/>
      <c r="AP211" s="724"/>
      <c r="AQ211" s="724"/>
      <c r="AR211" s="724"/>
      <c r="AS211" s="724"/>
      <c r="AT211" s="724"/>
      <c r="AU211" s="724"/>
      <c r="AV211" s="609"/>
      <c r="AW211" s="610"/>
      <c r="AX211" s="611"/>
      <c r="AY211" s="807"/>
      <c r="AZ211" s="612"/>
      <c r="BA211" s="613"/>
    </row>
    <row r="212" spans="1:53" s="723" customFormat="1" ht="24.75" customHeight="1">
      <c r="A212" s="712"/>
      <c r="B212" s="713"/>
      <c r="C212" s="713" t="s">
        <v>471</v>
      </c>
      <c r="D212" s="714">
        <v>20</v>
      </c>
      <c r="E212" s="715">
        <v>20</v>
      </c>
      <c r="F212" s="715"/>
      <c r="G212" s="715">
        <v>1</v>
      </c>
      <c r="H212" s="715"/>
      <c r="I212" s="715"/>
      <c r="J212" s="718">
        <v>93209</v>
      </c>
      <c r="K212" s="716"/>
      <c r="L212" s="756">
        <v>93209</v>
      </c>
      <c r="M212" s="719"/>
      <c r="N212" s="718"/>
      <c r="O212" s="718"/>
      <c r="P212" s="718"/>
      <c r="Q212" s="718"/>
      <c r="R212" s="718"/>
      <c r="S212" s="718"/>
      <c r="T212" s="718"/>
      <c r="U212" s="730"/>
      <c r="V212" s="718"/>
      <c r="W212" s="718"/>
      <c r="X212" s="721"/>
      <c r="Y212" s="722"/>
      <c r="AA212" s="609"/>
      <c r="AB212" s="609"/>
      <c r="AC212" s="609"/>
      <c r="AD212" s="724"/>
      <c r="AE212" s="724"/>
      <c r="AF212" s="724"/>
      <c r="AG212" s="724"/>
      <c r="AH212" s="724"/>
      <c r="AI212" s="724"/>
      <c r="AJ212" s="724"/>
      <c r="AK212" s="724"/>
      <c r="AL212" s="724"/>
      <c r="AM212" s="724"/>
      <c r="AN212" s="724"/>
      <c r="AO212" s="724"/>
      <c r="AP212" s="724"/>
      <c r="AQ212" s="724"/>
      <c r="AR212" s="724"/>
      <c r="AS212" s="724"/>
      <c r="AT212" s="724"/>
      <c r="AU212" s="724"/>
      <c r="AV212" s="609"/>
      <c r="AW212" s="610"/>
      <c r="AX212" s="611"/>
      <c r="AY212" s="807"/>
      <c r="AZ212" s="612"/>
      <c r="BA212" s="613"/>
    </row>
    <row r="213" spans="1:53" s="723" customFormat="1" ht="24.75" customHeight="1">
      <c r="A213" s="712"/>
      <c r="B213" s="713"/>
      <c r="C213" s="713" t="s">
        <v>472</v>
      </c>
      <c r="D213" s="714">
        <v>3</v>
      </c>
      <c r="E213" s="715">
        <v>3</v>
      </c>
      <c r="F213" s="715"/>
      <c r="G213" s="715">
        <v>1</v>
      </c>
      <c r="H213" s="715"/>
      <c r="I213" s="715"/>
      <c r="J213" s="718">
        <v>16655</v>
      </c>
      <c r="K213" s="716"/>
      <c r="L213" s="756">
        <v>16655</v>
      </c>
      <c r="M213" s="719"/>
      <c r="N213" s="718"/>
      <c r="O213" s="718"/>
      <c r="P213" s="718"/>
      <c r="Q213" s="718"/>
      <c r="R213" s="718"/>
      <c r="S213" s="718"/>
      <c r="T213" s="718"/>
      <c r="U213" s="730"/>
      <c r="V213" s="718"/>
      <c r="W213" s="718"/>
      <c r="X213" s="721"/>
      <c r="Y213" s="722"/>
      <c r="AA213" s="609"/>
      <c r="AB213" s="609"/>
      <c r="AC213" s="609"/>
      <c r="AD213" s="724"/>
      <c r="AE213" s="724"/>
      <c r="AF213" s="724"/>
      <c r="AG213" s="724"/>
      <c r="AH213" s="724"/>
      <c r="AI213" s="724"/>
      <c r="AJ213" s="724"/>
      <c r="AK213" s="724"/>
      <c r="AL213" s="724"/>
      <c r="AM213" s="724"/>
      <c r="AN213" s="724"/>
      <c r="AO213" s="724"/>
      <c r="AP213" s="724"/>
      <c r="AQ213" s="724"/>
      <c r="AR213" s="724"/>
      <c r="AS213" s="724"/>
      <c r="AT213" s="724"/>
      <c r="AU213" s="724"/>
      <c r="AV213" s="609"/>
      <c r="AW213" s="610"/>
      <c r="AX213" s="611"/>
      <c r="AY213" s="807"/>
      <c r="AZ213" s="612"/>
      <c r="BA213" s="613"/>
    </row>
    <row r="214" spans="1:53" s="598" customFormat="1" ht="24.75" customHeight="1">
      <c r="A214" s="589">
        <v>7</v>
      </c>
      <c r="B214" s="1945" t="s">
        <v>473</v>
      </c>
      <c r="C214" s="1945"/>
      <c r="D214" s="594"/>
      <c r="E214" s="595">
        <f>SUM(E215:E221)</f>
        <v>85</v>
      </c>
      <c r="F214" s="595">
        <f>SUM(F215:F221)</f>
        <v>7</v>
      </c>
      <c r="G214" s="596">
        <f>SUM(G215:G223)</f>
        <v>9</v>
      </c>
      <c r="H214" s="595">
        <v>9</v>
      </c>
      <c r="I214" s="595"/>
      <c r="J214" s="682">
        <f t="shared" ref="J214:Q214" si="118">SUM(J215:J221)</f>
        <v>727807</v>
      </c>
      <c r="K214" s="595">
        <f t="shared" si="118"/>
        <v>574990</v>
      </c>
      <c r="L214" s="595">
        <f t="shared" si="118"/>
        <v>727807</v>
      </c>
      <c r="M214" s="595">
        <f t="shared" si="118"/>
        <v>72780.7</v>
      </c>
      <c r="N214" s="595">
        <f t="shared" si="118"/>
        <v>655026.29999999993</v>
      </c>
      <c r="O214" s="595">
        <f t="shared" si="118"/>
        <v>592143.77520000003</v>
      </c>
      <c r="P214" s="595">
        <f t="shared" si="118"/>
        <v>335458.52520000003</v>
      </c>
      <c r="Q214" s="595">
        <f t="shared" si="118"/>
        <v>62882.524799999977</v>
      </c>
      <c r="R214" s="595"/>
      <c r="S214" s="595">
        <f>SUM(S215:S221)</f>
        <v>375835</v>
      </c>
      <c r="T214" s="595">
        <f>SUM(T215:T221)</f>
        <v>29041.050000000003</v>
      </c>
      <c r="U214" s="595">
        <f>SUM(U215:U221)</f>
        <v>227644.2</v>
      </c>
      <c r="V214" s="595">
        <f>SUM(V215:V221)</f>
        <v>123218.75000000001</v>
      </c>
      <c r="W214" s="597">
        <v>0.90400000000000003</v>
      </c>
      <c r="X214" s="607">
        <f t="shared" si="109"/>
        <v>0.49110072045560782</v>
      </c>
      <c r="Y214" s="595">
        <f>SUM(Y215:Y221)</f>
        <v>4510020</v>
      </c>
      <c r="AA214" s="609"/>
      <c r="AB214" s="609"/>
      <c r="AC214" s="609"/>
      <c r="AD214" s="609"/>
      <c r="AE214" s="609"/>
      <c r="AF214" s="609"/>
      <c r="AG214" s="609"/>
      <c r="AH214" s="609"/>
      <c r="AI214" s="609"/>
      <c r="AJ214" s="609"/>
      <c r="AK214" s="609"/>
      <c r="AL214" s="609"/>
      <c r="AM214" s="609"/>
      <c r="AN214" s="609"/>
      <c r="AO214" s="609"/>
      <c r="AP214" s="609"/>
      <c r="AQ214" s="609"/>
      <c r="AR214" s="609"/>
      <c r="AS214" s="609"/>
      <c r="AT214" s="609"/>
      <c r="AU214" s="609"/>
      <c r="AV214" s="609"/>
      <c r="AW214" s="610"/>
      <c r="AX214" s="611"/>
      <c r="AY214" s="806"/>
      <c r="AZ214" s="612"/>
      <c r="BA214" s="613"/>
    </row>
    <row r="215" spans="1:53" ht="24.75" customHeight="1">
      <c r="A215" s="599"/>
      <c r="B215" s="445">
        <v>1</v>
      </c>
      <c r="C215" s="445" t="s">
        <v>474</v>
      </c>
      <c r="D215" s="600">
        <v>11</v>
      </c>
      <c r="E215" s="561">
        <v>11</v>
      </c>
      <c r="F215" s="561">
        <v>1</v>
      </c>
      <c r="G215" s="602">
        <v>1</v>
      </c>
      <c r="H215" s="561"/>
      <c r="I215" s="561"/>
      <c r="J215" s="683">
        <v>149406</v>
      </c>
      <c r="K215" s="658">
        <v>87018</v>
      </c>
      <c r="L215" s="658">
        <v>149406</v>
      </c>
      <c r="M215" s="595">
        <f t="shared" ref="M215:M221" si="119">J215*10%</f>
        <v>14940.6</v>
      </c>
      <c r="N215" s="658">
        <f t="shared" ref="N215:N221" si="120">J215-M215</f>
        <v>134465.4</v>
      </c>
      <c r="O215" s="658">
        <f t="shared" ref="O215:O221" si="121">$N215*$W$214</f>
        <v>121556.7216</v>
      </c>
      <c r="P215" s="658">
        <f t="shared" ref="P215:P221" si="122">O215-T215-U215</f>
        <v>82969.388266666676</v>
      </c>
      <c r="Q215" s="658">
        <f t="shared" ref="Q215:Q221" si="123">N215-O215</f>
        <v>12908.67839999999</v>
      </c>
      <c r="R215" s="658"/>
      <c r="S215" s="606">
        <v>64505</v>
      </c>
      <c r="T215" s="621">
        <f>S215*0.05</f>
        <v>3225.25</v>
      </c>
      <c r="U215" s="665">
        <f>115762/3-T215</f>
        <v>35362.083333333336</v>
      </c>
      <c r="V215" s="658">
        <f>S215-T215-U215</f>
        <v>25917.666666666664</v>
      </c>
      <c r="W215" s="658"/>
      <c r="X215" s="607">
        <f t="shared" si="109"/>
        <v>0.44691133438289371</v>
      </c>
      <c r="Y215" s="608">
        <f t="shared" ref="Y215:Y221" si="124">S215*12</f>
        <v>774060</v>
      </c>
      <c r="AA215" s="609">
        <f>D215*'Don gia XCSDL DC'!$K$8</f>
        <v>5073.8608224437694</v>
      </c>
      <c r="AB215" s="609">
        <f>D215*'Don gia XCSDL DC'!$K$9</f>
        <v>4841.0818474437701</v>
      </c>
      <c r="AC215" s="609" t="e">
        <f>D215*'Don gia XCSDL DC'!#REF!</f>
        <v>#REF!</v>
      </c>
      <c r="AD215" s="609">
        <f>D215*'Don gia XCSDL DC'!$K$10</f>
        <v>19493.713292198456</v>
      </c>
      <c r="AE215" s="609">
        <f>J215*'Don gia XCSDL DC'!$K$11</f>
        <v>0</v>
      </c>
      <c r="AF215" s="609" t="e">
        <f>S215*'Don gia XCSDL DC'!#REF!</f>
        <v>#REF!</v>
      </c>
      <c r="AG215" s="609" t="e">
        <f>D215*'Don gia XCSDL DC'!#REF!</f>
        <v>#REF!</v>
      </c>
      <c r="AH215" s="609" t="e">
        <f>J215*'Don gia XCSDL DC'!#REF!</f>
        <v>#REF!</v>
      </c>
      <c r="AI215" s="609" t="e">
        <f>D215*'Don gia XCSDL DC'!#REF!</f>
        <v>#REF!</v>
      </c>
      <c r="AJ215" s="609">
        <f>S215*2*'Don gia XCSDL DC'!$K$24</f>
        <v>1103111349.6708019</v>
      </c>
      <c r="AK215" s="609" t="e">
        <f>S215*3*'Don gia XCSDL DC'!#REF!</f>
        <v>#REF!</v>
      </c>
      <c r="AL215" s="609" t="e">
        <f>(S215*2+S215*3)*('Don gia XCSDL DC'!#REF!+'Don gia XCSDL DC'!#REF!+'Don gia XCSDL DC'!#REF!)</f>
        <v>#REF!</v>
      </c>
      <c r="AM215" s="609" t="e">
        <f>O215*'Don gia XCSDL DC'!#REF!*50%</f>
        <v>#REF!</v>
      </c>
      <c r="AN215" s="609" t="e">
        <f>T215*'Don gia XCSDL DC'!#REF!*$AN$8</f>
        <v>#REF!</v>
      </c>
      <c r="AO215" s="609" t="e">
        <f>U215*'Don gia XCSDL DC'!#REF!*1</f>
        <v>#REF!</v>
      </c>
      <c r="AP215" s="609" t="e">
        <f>P215*X215*'Don gia XCSDL DC'!#REF!</f>
        <v>#REF!</v>
      </c>
      <c r="AQ215" s="609" t="e">
        <f>Q215*$AQ$8*'Don gia XCSDL DC'!#REF!</f>
        <v>#REF!</v>
      </c>
      <c r="AR215" s="609" t="e">
        <f>M215*$AR$8*'Don gia XCSDL DC'!#REF!</f>
        <v>#REF!</v>
      </c>
      <c r="AS215" s="609" t="e">
        <f>J215*'Don gia XCSDL DC'!#REF!</f>
        <v>#REF!</v>
      </c>
      <c r="AT215" s="609">
        <f>D215*'Don gia XCSDL DC'!$K$26</f>
        <v>0</v>
      </c>
      <c r="AU215" s="609">
        <f>J215*'Don gia XCSDL DC'!$K$34</f>
        <v>0</v>
      </c>
      <c r="AV215" s="609">
        <f>O215*'Don gia XCSDL DC'!$K$37</f>
        <v>0</v>
      </c>
      <c r="AW215" s="610" t="e">
        <f t="shared" ref="AW215:AW270" si="125">SUM(AA215:AV215)</f>
        <v>#REF!</v>
      </c>
      <c r="AX215" s="611" t="e">
        <f t="shared" ref="AX215:AX270" si="126">AC215+AD215+AV215+AZ215+BA215</f>
        <v>#REF!</v>
      </c>
      <c r="AY215" s="806" t="e">
        <f t="shared" si="116"/>
        <v>#REF!</v>
      </c>
      <c r="AZ215" s="612" t="e">
        <f>D215*'Don gia XCSDL DC'!#REF!</f>
        <v>#REF!</v>
      </c>
      <c r="BA215" s="613" t="e">
        <f>(Q215+M215)*'Don gia XCSDL DC'!#REF!</f>
        <v>#REF!</v>
      </c>
    </row>
    <row r="216" spans="1:53" ht="24.75" customHeight="1">
      <c r="A216" s="599"/>
      <c r="B216" s="445">
        <v>2</v>
      </c>
      <c r="C216" s="445" t="s">
        <v>475</v>
      </c>
      <c r="D216" s="600">
        <v>9</v>
      </c>
      <c r="E216" s="561">
        <v>9</v>
      </c>
      <c r="F216" s="561">
        <v>1</v>
      </c>
      <c r="G216" s="602">
        <v>1</v>
      </c>
      <c r="H216" s="561"/>
      <c r="I216" s="561"/>
      <c r="J216" s="683">
        <v>120960</v>
      </c>
      <c r="K216" s="658">
        <v>119339</v>
      </c>
      <c r="L216" s="658">
        <v>120960</v>
      </c>
      <c r="M216" s="595">
        <f t="shared" si="119"/>
        <v>12096</v>
      </c>
      <c r="N216" s="658">
        <f t="shared" si="120"/>
        <v>108864</v>
      </c>
      <c r="O216" s="658">
        <f t="shared" si="121"/>
        <v>98413.055999999997</v>
      </c>
      <c r="P216" s="658">
        <f t="shared" si="122"/>
        <v>63990.38933333334</v>
      </c>
      <c r="Q216" s="658">
        <f t="shared" si="123"/>
        <v>10450.944000000003</v>
      </c>
      <c r="R216" s="658"/>
      <c r="S216" s="606">
        <v>59208</v>
      </c>
      <c r="T216" s="621">
        <f>S216*0.05</f>
        <v>2960.4</v>
      </c>
      <c r="U216" s="665">
        <f>103268/3-T216</f>
        <v>31462.266666666663</v>
      </c>
      <c r="V216" s="658">
        <f>S216-T216-U216</f>
        <v>24785.333333333336</v>
      </c>
      <c r="W216" s="658"/>
      <c r="X216" s="607">
        <f t="shared" si="109"/>
        <v>0.50719941082166997</v>
      </c>
      <c r="Y216" s="608">
        <f t="shared" si="124"/>
        <v>710496</v>
      </c>
      <c r="AA216" s="609">
        <f>D216*'Don gia XCSDL DC'!$K$8</f>
        <v>4151.3406729085382</v>
      </c>
      <c r="AB216" s="609">
        <f>D216*'Don gia XCSDL DC'!$K$9</f>
        <v>3960.8851479085388</v>
      </c>
      <c r="AC216" s="609" t="e">
        <f>D216*'Don gia XCSDL DC'!#REF!</f>
        <v>#REF!</v>
      </c>
      <c r="AD216" s="609">
        <f>D216*'Don gia XCSDL DC'!$K$10</f>
        <v>15949.40178452601</v>
      </c>
      <c r="AE216" s="609">
        <f>J216*'Don gia XCSDL DC'!$K$11</f>
        <v>0</v>
      </c>
      <c r="AF216" s="609" t="e">
        <f>S216*'Don gia XCSDL DC'!#REF!</f>
        <v>#REF!</v>
      </c>
      <c r="AG216" s="609" t="e">
        <f>D216*'Don gia XCSDL DC'!#REF!</f>
        <v>#REF!</v>
      </c>
      <c r="AH216" s="609" t="e">
        <f>J216*'Don gia XCSDL DC'!#REF!</f>
        <v>#REF!</v>
      </c>
      <c r="AI216" s="609" t="e">
        <f>D216*'Don gia XCSDL DC'!#REF!</f>
        <v>#REF!</v>
      </c>
      <c r="AJ216" s="609">
        <f>S216*2*'Don gia XCSDL DC'!$K$24</f>
        <v>1012526421.072922</v>
      </c>
      <c r="AK216" s="609" t="e">
        <f>S216*3*'Don gia XCSDL DC'!#REF!</f>
        <v>#REF!</v>
      </c>
      <c r="AL216" s="609" t="e">
        <f>(S216*2+S216*3)*('Don gia XCSDL DC'!#REF!+'Don gia XCSDL DC'!#REF!+'Don gia XCSDL DC'!#REF!)</f>
        <v>#REF!</v>
      </c>
      <c r="AM216" s="609" t="e">
        <f>O216*'Don gia XCSDL DC'!#REF!*50%</f>
        <v>#REF!</v>
      </c>
      <c r="AN216" s="609" t="e">
        <f>T216*'Don gia XCSDL DC'!#REF!*$AN$8</f>
        <v>#REF!</v>
      </c>
      <c r="AO216" s="609" t="e">
        <f>U216*'Don gia XCSDL DC'!#REF!*1</f>
        <v>#REF!</v>
      </c>
      <c r="AP216" s="609" t="e">
        <f>P216*X216*'Don gia XCSDL DC'!#REF!</f>
        <v>#REF!</v>
      </c>
      <c r="AQ216" s="609" t="e">
        <f>Q216*$AQ$8*'Don gia XCSDL DC'!#REF!</f>
        <v>#REF!</v>
      </c>
      <c r="AR216" s="609" t="e">
        <f>M216*$AR$8*'Don gia XCSDL DC'!#REF!</f>
        <v>#REF!</v>
      </c>
      <c r="AS216" s="609" t="e">
        <f>J216*'Don gia XCSDL DC'!#REF!</f>
        <v>#REF!</v>
      </c>
      <c r="AT216" s="609">
        <f>D216*'Don gia XCSDL DC'!$K$26</f>
        <v>0</v>
      </c>
      <c r="AU216" s="609">
        <f>J216*'Don gia XCSDL DC'!$K$34</f>
        <v>0</v>
      </c>
      <c r="AV216" s="609">
        <f>O216*'Don gia XCSDL DC'!$K$37</f>
        <v>0</v>
      </c>
      <c r="AW216" s="610" t="e">
        <f t="shared" si="125"/>
        <v>#REF!</v>
      </c>
      <c r="AX216" s="611" t="e">
        <f t="shared" si="126"/>
        <v>#REF!</v>
      </c>
      <c r="AY216" s="806" t="e">
        <f t="shared" si="116"/>
        <v>#REF!</v>
      </c>
      <c r="AZ216" s="612" t="e">
        <f>D216*'Don gia XCSDL DC'!#REF!</f>
        <v>#REF!</v>
      </c>
      <c r="BA216" s="613" t="e">
        <f>(Q216+M216)*'Don gia XCSDL DC'!#REF!</f>
        <v>#REF!</v>
      </c>
    </row>
    <row r="217" spans="1:53" ht="24.75" customHeight="1">
      <c r="A217" s="599"/>
      <c r="B217" s="445">
        <v>3</v>
      </c>
      <c r="C217" s="445" t="s">
        <v>476</v>
      </c>
      <c r="D217" s="600">
        <v>14</v>
      </c>
      <c r="E217" s="561">
        <v>14</v>
      </c>
      <c r="F217" s="561">
        <v>1</v>
      </c>
      <c r="G217" s="602">
        <v>1</v>
      </c>
      <c r="H217" s="561"/>
      <c r="I217" s="561"/>
      <c r="J217" s="683">
        <v>91117</v>
      </c>
      <c r="K217" s="658">
        <v>91117</v>
      </c>
      <c r="L217" s="658">
        <v>91117</v>
      </c>
      <c r="M217" s="595">
        <f t="shared" si="119"/>
        <v>9111.7000000000007</v>
      </c>
      <c r="N217" s="658">
        <f t="shared" si="120"/>
        <v>82005.3</v>
      </c>
      <c r="O217" s="658">
        <f t="shared" si="121"/>
        <v>74132.791200000007</v>
      </c>
      <c r="P217" s="658">
        <f t="shared" si="122"/>
        <v>56110.457866666678</v>
      </c>
      <c r="Q217" s="658">
        <f t="shared" si="123"/>
        <v>7872.508799999996</v>
      </c>
      <c r="R217" s="658"/>
      <c r="S217" s="684">
        <v>45304</v>
      </c>
      <c r="T217" s="621">
        <f>S217*0.05</f>
        <v>2265.2000000000003</v>
      </c>
      <c r="U217" s="665">
        <f>54067/3-T217</f>
        <v>15757.133333333331</v>
      </c>
      <c r="V217" s="658">
        <f>S217-T217-U217</f>
        <v>27281.666666666672</v>
      </c>
      <c r="W217" s="658"/>
      <c r="X217" s="607">
        <f t="shared" si="109"/>
        <v>0.58673701103034104</v>
      </c>
      <c r="Y217" s="608">
        <f t="shared" si="124"/>
        <v>543648</v>
      </c>
      <c r="AA217" s="609">
        <f>D217*'Don gia XCSDL DC'!$K$8</f>
        <v>6457.6410467466158</v>
      </c>
      <c r="AB217" s="609">
        <f>D217*'Don gia XCSDL DC'!$K$9</f>
        <v>6161.3768967466167</v>
      </c>
      <c r="AC217" s="609" t="e">
        <f>D217*'Don gia XCSDL DC'!#REF!</f>
        <v>#REF!</v>
      </c>
      <c r="AD217" s="609">
        <f>D217*'Don gia XCSDL DC'!$K$10</f>
        <v>24810.180553707127</v>
      </c>
      <c r="AE217" s="609">
        <f>J217*'Don gia XCSDL DC'!$K$11</f>
        <v>0</v>
      </c>
      <c r="AF217" s="609" t="e">
        <f>S217*'Don gia XCSDL DC'!#REF!</f>
        <v>#REF!</v>
      </c>
      <c r="AG217" s="609" t="e">
        <f>D217*'Don gia XCSDL DC'!#REF!</f>
        <v>#REF!</v>
      </c>
      <c r="AH217" s="609" t="e">
        <f>J217*'Don gia XCSDL DC'!#REF!</f>
        <v>#REF!</v>
      </c>
      <c r="AI217" s="609" t="e">
        <f>D217*'Don gia XCSDL DC'!#REF!</f>
        <v>#REF!</v>
      </c>
      <c r="AJ217" s="609">
        <f>S217*2*'Don gia XCSDL DC'!$K$24</f>
        <v>774751671.73840797</v>
      </c>
      <c r="AK217" s="609" t="e">
        <f>S217*3*'Don gia XCSDL DC'!#REF!</f>
        <v>#REF!</v>
      </c>
      <c r="AL217" s="609" t="e">
        <f>(S217*2+S217*3)*('Don gia XCSDL DC'!#REF!+'Don gia XCSDL DC'!#REF!+'Don gia XCSDL DC'!#REF!)</f>
        <v>#REF!</v>
      </c>
      <c r="AM217" s="609" t="e">
        <f>O217*'Don gia XCSDL DC'!#REF!*50%</f>
        <v>#REF!</v>
      </c>
      <c r="AN217" s="609" t="e">
        <f>T217*'Don gia XCSDL DC'!#REF!*$AN$8</f>
        <v>#REF!</v>
      </c>
      <c r="AO217" s="609" t="e">
        <f>U217*'Don gia XCSDL DC'!#REF!*1</f>
        <v>#REF!</v>
      </c>
      <c r="AP217" s="609" t="e">
        <f>P217*X217*'Don gia XCSDL DC'!#REF!</f>
        <v>#REF!</v>
      </c>
      <c r="AQ217" s="609" t="e">
        <f>Q217*$AQ$8*'Don gia XCSDL DC'!#REF!</f>
        <v>#REF!</v>
      </c>
      <c r="AR217" s="609" t="e">
        <f>M217*$AR$8*'Don gia XCSDL DC'!#REF!</f>
        <v>#REF!</v>
      </c>
      <c r="AS217" s="609" t="e">
        <f>J217*'Don gia XCSDL DC'!#REF!</f>
        <v>#REF!</v>
      </c>
      <c r="AT217" s="609">
        <f>D217*'Don gia XCSDL DC'!$K$26</f>
        <v>0</v>
      </c>
      <c r="AU217" s="609">
        <f>J217*'Don gia XCSDL DC'!$K$34</f>
        <v>0</v>
      </c>
      <c r="AV217" s="609">
        <f>O217*'Don gia XCSDL DC'!$K$37</f>
        <v>0</v>
      </c>
      <c r="AW217" s="610" t="e">
        <f t="shared" si="125"/>
        <v>#REF!</v>
      </c>
      <c r="AX217" s="611" t="e">
        <f t="shared" si="126"/>
        <v>#REF!</v>
      </c>
      <c r="AY217" s="806" t="e">
        <f t="shared" si="116"/>
        <v>#REF!</v>
      </c>
      <c r="AZ217" s="612" t="e">
        <f>D217*'Don gia XCSDL DC'!#REF!</f>
        <v>#REF!</v>
      </c>
      <c r="BA217" s="613" t="e">
        <f>(Q217+M217)*'Don gia XCSDL DC'!#REF!</f>
        <v>#REF!</v>
      </c>
    </row>
    <row r="218" spans="1:53" ht="24.75" customHeight="1">
      <c r="A218" s="599"/>
      <c r="B218" s="445">
        <v>4</v>
      </c>
      <c r="C218" s="445" t="s">
        <v>477</v>
      </c>
      <c r="D218" s="600">
        <v>11</v>
      </c>
      <c r="E218" s="561">
        <v>11</v>
      </c>
      <c r="F218" s="561">
        <v>1</v>
      </c>
      <c r="G218" s="602">
        <v>1</v>
      </c>
      <c r="H218" s="561"/>
      <c r="I218" s="561"/>
      <c r="J218" s="683">
        <v>105722</v>
      </c>
      <c r="K218" s="658">
        <v>105722</v>
      </c>
      <c r="L218" s="658">
        <v>105722</v>
      </c>
      <c r="M218" s="595">
        <f t="shared" si="119"/>
        <v>10572.2</v>
      </c>
      <c r="N218" s="658">
        <f t="shared" si="120"/>
        <v>95149.8</v>
      </c>
      <c r="O218" s="658">
        <f t="shared" si="121"/>
        <v>86015.419200000004</v>
      </c>
      <c r="P218" s="658">
        <f t="shared" si="122"/>
        <v>48222.085866666668</v>
      </c>
      <c r="Q218" s="658">
        <f t="shared" si="123"/>
        <v>9134.380799999999</v>
      </c>
      <c r="R218" s="658"/>
      <c r="S218" s="684">
        <v>59989</v>
      </c>
      <c r="T218" s="621">
        <f>S218*0.05</f>
        <v>2999.4500000000003</v>
      </c>
      <c r="U218" s="665">
        <f>45352/1.2-T218</f>
        <v>34793.883333333339</v>
      </c>
      <c r="V218" s="658">
        <f>S218-T218-U218</f>
        <v>22195.666666666664</v>
      </c>
      <c r="W218" s="658"/>
      <c r="X218" s="607">
        <f t="shared" si="109"/>
        <v>0.56587747443711101</v>
      </c>
      <c r="Y218" s="608">
        <f t="shared" si="124"/>
        <v>719868</v>
      </c>
      <c r="AA218" s="609">
        <f>D218*'Don gia XCSDL DC'!$K$8</f>
        <v>5073.8608224437694</v>
      </c>
      <c r="AB218" s="609">
        <f>D218*'Don gia XCSDL DC'!$K$9</f>
        <v>4841.0818474437701</v>
      </c>
      <c r="AC218" s="609" t="e">
        <f>D218*'Don gia XCSDL DC'!#REF!</f>
        <v>#REF!</v>
      </c>
      <c r="AD218" s="609">
        <f>D218*'Don gia XCSDL DC'!$K$10</f>
        <v>19493.713292198456</v>
      </c>
      <c r="AE218" s="609">
        <f>J218*'Don gia XCSDL DC'!$K$11</f>
        <v>0</v>
      </c>
      <c r="AF218" s="609" t="e">
        <f>S218*'Don gia XCSDL DC'!#REF!</f>
        <v>#REF!</v>
      </c>
      <c r="AG218" s="609" t="e">
        <f>D218*'Don gia XCSDL DC'!#REF!</f>
        <v>#REF!</v>
      </c>
      <c r="AH218" s="609" t="e">
        <f>J218*'Don gia XCSDL DC'!#REF!</f>
        <v>#REF!</v>
      </c>
      <c r="AI218" s="609" t="e">
        <f>D218*'Don gia XCSDL DC'!#REF!</f>
        <v>#REF!</v>
      </c>
      <c r="AJ218" s="609">
        <f>S218*2*'Don gia XCSDL DC'!$K$24</f>
        <v>1025882439.4295285</v>
      </c>
      <c r="AK218" s="609" t="e">
        <f>S218*3*'Don gia XCSDL DC'!#REF!</f>
        <v>#REF!</v>
      </c>
      <c r="AL218" s="609" t="e">
        <f>(S218*2+S218*3)*('Don gia XCSDL DC'!#REF!+'Don gia XCSDL DC'!#REF!+'Don gia XCSDL DC'!#REF!)</f>
        <v>#REF!</v>
      </c>
      <c r="AM218" s="609" t="e">
        <f>O218*'Don gia XCSDL DC'!#REF!*50%</f>
        <v>#REF!</v>
      </c>
      <c r="AN218" s="609" t="e">
        <f>T218*'Don gia XCSDL DC'!#REF!*$AN$8</f>
        <v>#REF!</v>
      </c>
      <c r="AO218" s="609" t="e">
        <f>U218*'Don gia XCSDL DC'!#REF!*1</f>
        <v>#REF!</v>
      </c>
      <c r="AP218" s="609" t="e">
        <f>P218*X218*'Don gia XCSDL DC'!#REF!</f>
        <v>#REF!</v>
      </c>
      <c r="AQ218" s="609" t="e">
        <f>Q218*$AQ$8*'Don gia XCSDL DC'!#REF!</f>
        <v>#REF!</v>
      </c>
      <c r="AR218" s="609" t="e">
        <f>M218*$AR$8*'Don gia XCSDL DC'!#REF!</f>
        <v>#REF!</v>
      </c>
      <c r="AS218" s="609" t="e">
        <f>J218*'Don gia XCSDL DC'!#REF!</f>
        <v>#REF!</v>
      </c>
      <c r="AT218" s="609">
        <f>D218*'Don gia XCSDL DC'!$K$26</f>
        <v>0</v>
      </c>
      <c r="AU218" s="609">
        <f>J218*'Don gia XCSDL DC'!$K$34</f>
        <v>0</v>
      </c>
      <c r="AV218" s="609">
        <f>O218*'Don gia XCSDL DC'!$K$37</f>
        <v>0</v>
      </c>
      <c r="AW218" s="610" t="e">
        <f t="shared" si="125"/>
        <v>#REF!</v>
      </c>
      <c r="AX218" s="611" t="e">
        <f t="shared" si="126"/>
        <v>#REF!</v>
      </c>
      <c r="AY218" s="806" t="e">
        <f t="shared" si="116"/>
        <v>#REF!</v>
      </c>
      <c r="AZ218" s="612" t="e">
        <f>D218*'Don gia XCSDL DC'!#REF!</f>
        <v>#REF!</v>
      </c>
      <c r="BA218" s="613" t="e">
        <f>(Q218+M218)*'Don gia XCSDL DC'!#REF!</f>
        <v>#REF!</v>
      </c>
    </row>
    <row r="219" spans="1:53" ht="24.75" customHeight="1">
      <c r="A219" s="599"/>
      <c r="B219" s="445">
        <v>5</v>
      </c>
      <c r="C219" s="445" t="s">
        <v>478</v>
      </c>
      <c r="D219" s="600">
        <v>10</v>
      </c>
      <c r="E219" s="561">
        <v>10</v>
      </c>
      <c r="F219" s="561">
        <v>1</v>
      </c>
      <c r="G219" s="602">
        <v>1</v>
      </c>
      <c r="H219" s="561"/>
      <c r="I219" s="561"/>
      <c r="J219" s="683">
        <v>95584</v>
      </c>
      <c r="K219" s="658">
        <v>95584</v>
      </c>
      <c r="L219" s="658">
        <v>95584</v>
      </c>
      <c r="M219" s="595">
        <f t="shared" si="119"/>
        <v>9558.4</v>
      </c>
      <c r="N219" s="658">
        <f t="shared" si="120"/>
        <v>86025.600000000006</v>
      </c>
      <c r="O219" s="658">
        <f t="shared" si="121"/>
        <v>77767.142400000012</v>
      </c>
      <c r="P219" s="658">
        <f t="shared" si="122"/>
        <v>20573.142400000004</v>
      </c>
      <c r="Q219" s="658">
        <f t="shared" si="123"/>
        <v>8258.4575999999943</v>
      </c>
      <c r="R219" s="658"/>
      <c r="S219" s="606">
        <v>48097</v>
      </c>
      <c r="T219" s="621">
        <f>S219*0.05</f>
        <v>2404.85</v>
      </c>
      <c r="U219" s="665">
        <f>114388/2-T219</f>
        <v>54789.15</v>
      </c>
      <c r="V219" s="658">
        <f>S218-T219-U219</f>
        <v>2795</v>
      </c>
      <c r="W219" s="658"/>
      <c r="X219" s="607">
        <f t="shared" si="109"/>
        <v>0.30492824512290606</v>
      </c>
      <c r="Y219" s="608">
        <f t="shared" si="124"/>
        <v>577164</v>
      </c>
      <c r="AA219" s="609">
        <f>D219*'Don gia XCSDL DC'!$K$8</f>
        <v>4612.6007476761533</v>
      </c>
      <c r="AB219" s="609">
        <f>D219*'Don gia XCSDL DC'!$K$9</f>
        <v>4400.983497676154</v>
      </c>
      <c r="AC219" s="609" t="e">
        <f>D219*'Don gia XCSDL DC'!#REF!</f>
        <v>#REF!</v>
      </c>
      <c r="AD219" s="609">
        <f>D219*'Don gia XCSDL DC'!$K$10</f>
        <v>17721.557538362234</v>
      </c>
      <c r="AE219" s="609">
        <f>J219*'Don gia XCSDL DC'!$K$11</f>
        <v>0</v>
      </c>
      <c r="AF219" s="609" t="e">
        <f>S219*'Don gia XCSDL DC'!#REF!</f>
        <v>#REF!</v>
      </c>
      <c r="AG219" s="609" t="e">
        <f>D219*'Don gia XCSDL DC'!#REF!</f>
        <v>#REF!</v>
      </c>
      <c r="AH219" s="609" t="e">
        <f>J219*'Don gia XCSDL DC'!#REF!</f>
        <v>#REF!</v>
      </c>
      <c r="AI219" s="609" t="e">
        <f>D219*'Don gia XCSDL DC'!#REF!</f>
        <v>#REF!</v>
      </c>
      <c r="AJ219" s="609">
        <f>S219*2*'Don gia XCSDL DC'!$K$24</f>
        <v>822515255.95095813</v>
      </c>
      <c r="AK219" s="609" t="e">
        <f>S219*3*'Don gia XCSDL DC'!#REF!</f>
        <v>#REF!</v>
      </c>
      <c r="AL219" s="609" t="e">
        <f>(S219*2+S219*3)*('Don gia XCSDL DC'!#REF!+'Don gia XCSDL DC'!#REF!+'Don gia XCSDL DC'!#REF!)</f>
        <v>#REF!</v>
      </c>
      <c r="AM219" s="609" t="e">
        <f>O219*'Don gia XCSDL DC'!#REF!*50%</f>
        <v>#REF!</v>
      </c>
      <c r="AN219" s="609" t="e">
        <f>T219*'Don gia XCSDL DC'!#REF!*$AN$8</f>
        <v>#REF!</v>
      </c>
      <c r="AO219" s="609" t="e">
        <f>U219*'Don gia XCSDL DC'!#REF!*1</f>
        <v>#REF!</v>
      </c>
      <c r="AP219" s="609" t="e">
        <f>P219*X219*'Don gia XCSDL DC'!#REF!</f>
        <v>#REF!</v>
      </c>
      <c r="AQ219" s="609" t="e">
        <f>Q219*$AQ$8*'Don gia XCSDL DC'!#REF!</f>
        <v>#REF!</v>
      </c>
      <c r="AR219" s="609" t="e">
        <f>M219*$AR$8*'Don gia XCSDL DC'!#REF!</f>
        <v>#REF!</v>
      </c>
      <c r="AS219" s="609" t="e">
        <f>J219*'Don gia XCSDL DC'!#REF!</f>
        <v>#REF!</v>
      </c>
      <c r="AT219" s="609">
        <f>D219*'Don gia XCSDL DC'!$K$26</f>
        <v>0</v>
      </c>
      <c r="AU219" s="609">
        <f>J219*'Don gia XCSDL DC'!$K$34</f>
        <v>0</v>
      </c>
      <c r="AV219" s="609">
        <f>O219*'Don gia XCSDL DC'!$K$37</f>
        <v>0</v>
      </c>
      <c r="AW219" s="610" t="e">
        <f t="shared" si="125"/>
        <v>#REF!</v>
      </c>
      <c r="AX219" s="611" t="e">
        <f t="shared" si="126"/>
        <v>#REF!</v>
      </c>
      <c r="AY219" s="806" t="e">
        <f t="shared" si="116"/>
        <v>#REF!</v>
      </c>
      <c r="AZ219" s="612" t="e">
        <f>D219*'Don gia XCSDL DC'!#REF!</f>
        <v>#REF!</v>
      </c>
      <c r="BA219" s="613" t="e">
        <f>(Q219+M219)*'Don gia XCSDL DC'!#REF!</f>
        <v>#REF!</v>
      </c>
    </row>
    <row r="220" spans="1:53" ht="24.75" customHeight="1">
      <c r="A220" s="599"/>
      <c r="B220" s="445">
        <v>6</v>
      </c>
      <c r="C220" s="445" t="s">
        <v>479</v>
      </c>
      <c r="D220" s="600">
        <v>16</v>
      </c>
      <c r="E220" s="561">
        <v>16</v>
      </c>
      <c r="F220" s="561">
        <v>1</v>
      </c>
      <c r="G220" s="602">
        <v>1</v>
      </c>
      <c r="H220" s="561"/>
      <c r="I220" s="561"/>
      <c r="J220" s="683">
        <v>76210</v>
      </c>
      <c r="K220" s="658">
        <v>76210</v>
      </c>
      <c r="L220" s="658">
        <v>76210</v>
      </c>
      <c r="M220" s="595">
        <f t="shared" si="119"/>
        <v>7621</v>
      </c>
      <c r="N220" s="658">
        <f t="shared" si="120"/>
        <v>68589</v>
      </c>
      <c r="O220" s="658">
        <f t="shared" si="121"/>
        <v>62004.455999999998</v>
      </c>
      <c r="P220" s="658">
        <f t="shared" si="122"/>
        <v>23976.205999999998</v>
      </c>
      <c r="Q220" s="658">
        <f t="shared" si="123"/>
        <v>6584.5440000000017</v>
      </c>
      <c r="R220" s="658"/>
      <c r="S220" s="606">
        <v>53127</v>
      </c>
      <c r="T220" s="621">
        <f>S220*0.2</f>
        <v>10625.400000000001</v>
      </c>
      <c r="U220" s="665">
        <f>152113/4-T220</f>
        <v>27402.85</v>
      </c>
      <c r="V220" s="658">
        <f>S217-T220-U220</f>
        <v>7275.75</v>
      </c>
      <c r="W220" s="658"/>
      <c r="X220" s="607">
        <f t="shared" si="109"/>
        <v>0.43973723456242952</v>
      </c>
      <c r="Y220" s="608">
        <f t="shared" si="124"/>
        <v>637524</v>
      </c>
      <c r="AA220" s="609">
        <f>D220*'Don gia XCSDL DC'!$K$8</f>
        <v>7380.1611962818461</v>
      </c>
      <c r="AB220" s="609">
        <f>D220*'Don gia XCSDL DC'!$K$9</f>
        <v>7041.5735962818471</v>
      </c>
      <c r="AC220" s="609" t="e">
        <f>D220*'Don gia XCSDL DC'!#REF!</f>
        <v>#REF!</v>
      </c>
      <c r="AD220" s="609">
        <f>D220*'Don gia XCSDL DC'!$K$10</f>
        <v>28354.492061379573</v>
      </c>
      <c r="AE220" s="609">
        <f>J220*'Don gia XCSDL DC'!$K$11</f>
        <v>0</v>
      </c>
      <c r="AF220" s="609" t="e">
        <f>S220*'Don gia XCSDL DC'!#REF!</f>
        <v>#REF!</v>
      </c>
      <c r="AG220" s="609" t="e">
        <f>D220*'Don gia XCSDL DC'!#REF!</f>
        <v>#REF!</v>
      </c>
      <c r="AH220" s="609" t="e">
        <f>J220*'Don gia XCSDL DC'!#REF!</f>
        <v>#REF!</v>
      </c>
      <c r="AI220" s="609" t="e">
        <f>D220*'Don gia XCSDL DC'!#REF!</f>
        <v>#REF!</v>
      </c>
      <c r="AJ220" s="609">
        <f>S220*2*'Don gia XCSDL DC'!$K$24</f>
        <v>908534170.59081757</v>
      </c>
      <c r="AK220" s="609" t="e">
        <f>S220*3*'Don gia XCSDL DC'!#REF!</f>
        <v>#REF!</v>
      </c>
      <c r="AL220" s="609" t="e">
        <f>(S220*2+S220*3)*('Don gia XCSDL DC'!#REF!+'Don gia XCSDL DC'!#REF!+'Don gia XCSDL DC'!#REF!)</f>
        <v>#REF!</v>
      </c>
      <c r="AM220" s="609" t="e">
        <f>O220*'Don gia XCSDL DC'!#REF!*50%</f>
        <v>#REF!</v>
      </c>
      <c r="AN220" s="609" t="e">
        <f>T220*'Don gia XCSDL DC'!#REF!*$AN$8</f>
        <v>#REF!</v>
      </c>
      <c r="AO220" s="609" t="e">
        <f>U220*'Don gia XCSDL DC'!#REF!*1</f>
        <v>#REF!</v>
      </c>
      <c r="AP220" s="609" t="e">
        <f>P220*X220*'Don gia XCSDL DC'!#REF!</f>
        <v>#REF!</v>
      </c>
      <c r="AQ220" s="609" t="e">
        <f>Q220*$AQ$8*'Don gia XCSDL DC'!#REF!</f>
        <v>#REF!</v>
      </c>
      <c r="AR220" s="609" t="e">
        <f>M220*$AR$8*'Don gia XCSDL DC'!#REF!</f>
        <v>#REF!</v>
      </c>
      <c r="AS220" s="609" t="e">
        <f>J220*'Don gia XCSDL DC'!#REF!</f>
        <v>#REF!</v>
      </c>
      <c r="AT220" s="609">
        <f>D220*'Don gia XCSDL DC'!$K$26</f>
        <v>0</v>
      </c>
      <c r="AU220" s="609">
        <f>J220*'Don gia XCSDL DC'!$K$34</f>
        <v>0</v>
      </c>
      <c r="AV220" s="609">
        <f>O220*'Don gia XCSDL DC'!$K$37</f>
        <v>0</v>
      </c>
      <c r="AW220" s="610" t="e">
        <f t="shared" si="125"/>
        <v>#REF!</v>
      </c>
      <c r="AX220" s="611" t="e">
        <f t="shared" si="126"/>
        <v>#REF!</v>
      </c>
      <c r="AY220" s="806" t="e">
        <f t="shared" si="116"/>
        <v>#REF!</v>
      </c>
      <c r="AZ220" s="612" t="e">
        <f>D220*'Don gia XCSDL DC'!#REF!</f>
        <v>#REF!</v>
      </c>
      <c r="BA220" s="613" t="e">
        <f>(Q220+M220)*'Don gia XCSDL DC'!#REF!</f>
        <v>#REF!</v>
      </c>
    </row>
    <row r="221" spans="1:53" ht="24.75" customHeight="1">
      <c r="A221" s="599"/>
      <c r="B221" s="445">
        <v>7</v>
      </c>
      <c r="C221" s="445" t="s">
        <v>480</v>
      </c>
      <c r="D221" s="600">
        <v>14</v>
      </c>
      <c r="E221" s="561">
        <v>14</v>
      </c>
      <c r="F221" s="561">
        <v>1</v>
      </c>
      <c r="G221" s="602">
        <v>1</v>
      </c>
      <c r="H221" s="561"/>
      <c r="I221" s="561"/>
      <c r="J221" s="683">
        <v>88808</v>
      </c>
      <c r="K221" s="658"/>
      <c r="L221" s="658">
        <f>79704/4*4+(18208/3*1.5)</f>
        <v>88808</v>
      </c>
      <c r="M221" s="595">
        <f t="shared" si="119"/>
        <v>8880.8000000000011</v>
      </c>
      <c r="N221" s="658">
        <f t="shared" si="120"/>
        <v>79927.199999999997</v>
      </c>
      <c r="O221" s="658">
        <f t="shared" si="121"/>
        <v>72254.188800000004</v>
      </c>
      <c r="P221" s="658">
        <f t="shared" si="122"/>
        <v>39616.855466666675</v>
      </c>
      <c r="Q221" s="658">
        <f t="shared" si="123"/>
        <v>7673.0111999999936</v>
      </c>
      <c r="R221" s="658"/>
      <c r="S221" s="684">
        <v>45605</v>
      </c>
      <c r="T221" s="621">
        <f>S221*0.1</f>
        <v>4560.5</v>
      </c>
      <c r="U221" s="665">
        <f>97912/3-T221</f>
        <v>28076.833333333332</v>
      </c>
      <c r="V221" s="658">
        <f>S221-T221-U221</f>
        <v>12967.666666666668</v>
      </c>
      <c r="W221" s="658"/>
      <c r="X221" s="607">
        <f t="shared" si="109"/>
        <v>0.45893693919507805</v>
      </c>
      <c r="Y221" s="608">
        <f t="shared" si="124"/>
        <v>547260</v>
      </c>
      <c r="AA221" s="609">
        <f>D221*'Don gia XCSDL DC'!$K$8</f>
        <v>6457.6410467466158</v>
      </c>
      <c r="AB221" s="609">
        <f>D221*'Don gia XCSDL DC'!$K$9</f>
        <v>6161.3768967466167</v>
      </c>
      <c r="AC221" s="609" t="e">
        <f>D221*'Don gia XCSDL DC'!#REF!</f>
        <v>#REF!</v>
      </c>
      <c r="AD221" s="609">
        <f>D221*'Don gia XCSDL DC'!$K$10</f>
        <v>24810.180553707127</v>
      </c>
      <c r="AE221" s="609">
        <f>J221*'Don gia XCSDL DC'!$K$11</f>
        <v>0</v>
      </c>
      <c r="AF221" s="609" t="e">
        <f>S221*'Don gia XCSDL DC'!#REF!</f>
        <v>#REF!</v>
      </c>
      <c r="AG221" s="609" t="e">
        <f>D221*'Don gia XCSDL DC'!#REF!</f>
        <v>#REF!</v>
      </c>
      <c r="AH221" s="609" t="e">
        <f>J221*'Don gia XCSDL DC'!#REF!</f>
        <v>#REF!</v>
      </c>
      <c r="AI221" s="609" t="e">
        <f>D221*'Don gia XCSDL DC'!#REF!</f>
        <v>#REF!</v>
      </c>
      <c r="AJ221" s="609">
        <f>S221*2*'Don gia XCSDL DC'!$K$24</f>
        <v>779899125.67610133</v>
      </c>
      <c r="AK221" s="609" t="e">
        <f>S221*3*'Don gia XCSDL DC'!#REF!</f>
        <v>#REF!</v>
      </c>
      <c r="AL221" s="609" t="e">
        <f>(S221*2+S221*3)*('Don gia XCSDL DC'!#REF!+'Don gia XCSDL DC'!#REF!+'Don gia XCSDL DC'!#REF!)</f>
        <v>#REF!</v>
      </c>
      <c r="AM221" s="609" t="e">
        <f>O221*'Don gia XCSDL DC'!#REF!*50%</f>
        <v>#REF!</v>
      </c>
      <c r="AN221" s="609" t="e">
        <f>T221*'Don gia XCSDL DC'!#REF!*$AN$8</f>
        <v>#REF!</v>
      </c>
      <c r="AO221" s="609" t="e">
        <f>U221*'Don gia XCSDL DC'!#REF!*1</f>
        <v>#REF!</v>
      </c>
      <c r="AP221" s="609" t="e">
        <f>P221*X221*'Don gia XCSDL DC'!#REF!</f>
        <v>#REF!</v>
      </c>
      <c r="AQ221" s="609" t="e">
        <f>Q221*$AQ$8*'Don gia XCSDL DC'!#REF!</f>
        <v>#REF!</v>
      </c>
      <c r="AR221" s="609" t="e">
        <f>M221*$AR$8*'Don gia XCSDL DC'!#REF!</f>
        <v>#REF!</v>
      </c>
      <c r="AS221" s="609" t="e">
        <f>J221*'Don gia XCSDL DC'!#REF!</f>
        <v>#REF!</v>
      </c>
      <c r="AT221" s="609">
        <f>D221*'Don gia XCSDL DC'!$K$26</f>
        <v>0</v>
      </c>
      <c r="AU221" s="609">
        <f>J221*'Don gia XCSDL DC'!$K$34</f>
        <v>0</v>
      </c>
      <c r="AV221" s="609">
        <f>O221*'Don gia XCSDL DC'!$K$37</f>
        <v>0</v>
      </c>
      <c r="AW221" s="610" t="e">
        <f t="shared" si="125"/>
        <v>#REF!</v>
      </c>
      <c r="AX221" s="611" t="e">
        <f t="shared" si="126"/>
        <v>#REF!</v>
      </c>
      <c r="AY221" s="806" t="e">
        <f t="shared" si="116"/>
        <v>#REF!</v>
      </c>
      <c r="AZ221" s="612" t="e">
        <f>D221*'Don gia XCSDL DC'!#REF!</f>
        <v>#REF!</v>
      </c>
      <c r="BA221" s="613" t="e">
        <f>(Q221+M221)*'Don gia XCSDL DC'!#REF!</f>
        <v>#REF!</v>
      </c>
    </row>
    <row r="222" spans="1:53" s="723" customFormat="1" ht="24.75" customHeight="1">
      <c r="A222" s="712"/>
      <c r="B222" s="713"/>
      <c r="C222" s="713" t="s">
        <v>481</v>
      </c>
      <c r="D222" s="714">
        <v>16</v>
      </c>
      <c r="E222" s="775">
        <v>16</v>
      </c>
      <c r="F222" s="775"/>
      <c r="G222" s="775">
        <v>1</v>
      </c>
      <c r="H222" s="775"/>
      <c r="I222" s="775"/>
      <c r="J222" s="776">
        <v>189965</v>
      </c>
      <c r="K222" s="716"/>
      <c r="L222" s="734">
        <v>189965</v>
      </c>
      <c r="M222" s="777"/>
      <c r="N222" s="778"/>
      <c r="O222" s="778"/>
      <c r="P222" s="778"/>
      <c r="Q222" s="778"/>
      <c r="R222" s="778"/>
      <c r="S222" s="779"/>
      <c r="T222" s="778"/>
      <c r="U222" s="730"/>
      <c r="V222" s="778"/>
      <c r="W222" s="778"/>
      <c r="X222" s="721"/>
      <c r="Y222" s="722"/>
      <c r="AA222" s="609"/>
      <c r="AB222" s="609"/>
      <c r="AC222" s="609"/>
      <c r="AD222" s="724"/>
      <c r="AE222" s="724"/>
      <c r="AF222" s="724"/>
      <c r="AG222" s="724"/>
      <c r="AH222" s="724"/>
      <c r="AI222" s="724"/>
      <c r="AJ222" s="724"/>
      <c r="AK222" s="724"/>
      <c r="AL222" s="724"/>
      <c r="AM222" s="724"/>
      <c r="AN222" s="724"/>
      <c r="AO222" s="724"/>
      <c r="AP222" s="724"/>
      <c r="AQ222" s="724"/>
      <c r="AR222" s="724"/>
      <c r="AS222" s="724"/>
      <c r="AT222" s="724"/>
      <c r="AU222" s="724"/>
      <c r="AV222" s="609"/>
      <c r="AW222" s="610"/>
      <c r="AX222" s="611"/>
      <c r="AY222" s="807"/>
      <c r="AZ222" s="612"/>
      <c r="BA222" s="613"/>
    </row>
    <row r="223" spans="1:53" s="723" customFormat="1" ht="24.75" customHeight="1">
      <c r="A223" s="712"/>
      <c r="B223" s="713"/>
      <c r="C223" s="713" t="s">
        <v>726</v>
      </c>
      <c r="D223" s="714">
        <v>11</v>
      </c>
      <c r="E223" s="778">
        <v>11</v>
      </c>
      <c r="F223" s="778"/>
      <c r="G223" s="778">
        <v>1</v>
      </c>
      <c r="H223" s="778"/>
      <c r="I223" s="778"/>
      <c r="J223" s="776">
        <v>119339</v>
      </c>
      <c r="K223" s="778"/>
      <c r="L223" s="778"/>
      <c r="M223" s="778"/>
      <c r="N223" s="778"/>
      <c r="O223" s="778"/>
      <c r="P223" s="778"/>
      <c r="Q223" s="778"/>
      <c r="R223" s="778"/>
      <c r="S223" s="779"/>
      <c r="T223" s="778"/>
      <c r="U223" s="730"/>
      <c r="V223" s="778"/>
      <c r="W223" s="778"/>
      <c r="X223" s="721"/>
      <c r="Y223" s="722"/>
      <c r="AA223" s="609"/>
      <c r="AB223" s="609"/>
      <c r="AC223" s="609"/>
      <c r="AD223" s="724"/>
      <c r="AE223" s="724"/>
      <c r="AF223" s="724"/>
      <c r="AG223" s="724"/>
      <c r="AH223" s="724"/>
      <c r="AI223" s="724"/>
      <c r="AJ223" s="724"/>
      <c r="AK223" s="724"/>
      <c r="AL223" s="724"/>
      <c r="AM223" s="724"/>
      <c r="AN223" s="724"/>
      <c r="AO223" s="724"/>
      <c r="AP223" s="724"/>
      <c r="AQ223" s="724"/>
      <c r="AR223" s="724"/>
      <c r="AS223" s="724"/>
      <c r="AT223" s="724"/>
      <c r="AU223" s="724"/>
      <c r="AV223" s="609"/>
      <c r="AW223" s="610"/>
      <c r="AX223" s="611"/>
      <c r="AY223" s="807"/>
      <c r="AZ223" s="612"/>
      <c r="BA223" s="613"/>
    </row>
    <row r="224" spans="1:53" s="598" customFormat="1" ht="24.75" customHeight="1">
      <c r="A224" s="589">
        <v>8</v>
      </c>
      <c r="B224" s="1945" t="s">
        <v>482</v>
      </c>
      <c r="C224" s="1945"/>
      <c r="D224" s="594"/>
      <c r="E224" s="595">
        <f>SUM(E225:E231)</f>
        <v>85</v>
      </c>
      <c r="F224" s="595">
        <f>SUM(F225:F231)</f>
        <v>7</v>
      </c>
      <c r="G224" s="596">
        <f>SUM(G225:G233)</f>
        <v>9</v>
      </c>
      <c r="H224" s="595">
        <v>15</v>
      </c>
      <c r="I224" s="595"/>
      <c r="J224" s="595">
        <f t="shared" ref="J224:Q224" si="127">SUM(J225:J231)</f>
        <v>927093</v>
      </c>
      <c r="K224" s="595">
        <f t="shared" si="127"/>
        <v>917093</v>
      </c>
      <c r="L224" s="595">
        <f t="shared" si="127"/>
        <v>917093</v>
      </c>
      <c r="M224" s="595">
        <f t="shared" si="127"/>
        <v>183108.05000000002</v>
      </c>
      <c r="N224" s="595">
        <f t="shared" si="127"/>
        <v>743984.95000000007</v>
      </c>
      <c r="O224" s="595">
        <f t="shared" si="127"/>
        <v>675538.33460000006</v>
      </c>
      <c r="P224" s="595">
        <f t="shared" si="127"/>
        <v>421584.45960000006</v>
      </c>
      <c r="Q224" s="595">
        <f t="shared" si="127"/>
        <v>68446.615399999981</v>
      </c>
      <c r="R224" s="595"/>
      <c r="S224" s="595">
        <f>SUM(S225:S231)</f>
        <v>501201.41666666669</v>
      </c>
      <c r="T224" s="595">
        <f>SUM(T225:T231)</f>
        <v>10024.028333333335</v>
      </c>
      <c r="U224" s="595">
        <f>SUM(U225:U231)</f>
        <v>243929.84666666668</v>
      </c>
      <c r="V224" s="595">
        <f>SUM(V225:V231)</f>
        <v>247247.54166666669</v>
      </c>
      <c r="W224" s="597">
        <v>0.90800000000000003</v>
      </c>
      <c r="X224" s="607">
        <f t="shared" si="109"/>
        <v>0.66737976755731254</v>
      </c>
      <c r="Y224" s="595">
        <f>SUM(Y225:Y231)</f>
        <v>6014417</v>
      </c>
      <c r="AA224" s="609"/>
      <c r="AB224" s="609"/>
      <c r="AC224" s="609"/>
      <c r="AD224" s="609"/>
      <c r="AE224" s="609"/>
      <c r="AF224" s="609"/>
      <c r="AG224" s="609"/>
      <c r="AH224" s="609"/>
      <c r="AI224" s="609"/>
      <c r="AJ224" s="609"/>
      <c r="AK224" s="609"/>
      <c r="AL224" s="609"/>
      <c r="AM224" s="609"/>
      <c r="AN224" s="609"/>
      <c r="AO224" s="609"/>
      <c r="AP224" s="609"/>
      <c r="AQ224" s="609"/>
      <c r="AR224" s="609"/>
      <c r="AS224" s="609"/>
      <c r="AT224" s="609"/>
      <c r="AU224" s="609"/>
      <c r="AV224" s="609"/>
      <c r="AW224" s="610"/>
      <c r="AX224" s="611"/>
      <c r="AY224" s="806"/>
      <c r="AZ224" s="612"/>
      <c r="BA224" s="613"/>
    </row>
    <row r="225" spans="1:53" ht="24.75" customHeight="1">
      <c r="A225" s="599"/>
      <c r="B225" s="445">
        <v>1</v>
      </c>
      <c r="C225" s="445" t="s">
        <v>483</v>
      </c>
      <c r="D225" s="600">
        <v>14</v>
      </c>
      <c r="E225" s="561">
        <v>14</v>
      </c>
      <c r="F225" s="561">
        <v>1</v>
      </c>
      <c r="G225" s="602">
        <v>1</v>
      </c>
      <c r="H225" s="561"/>
      <c r="I225" s="561"/>
      <c r="J225" s="658">
        <v>188099</v>
      </c>
      <c r="K225" s="658">
        <v>188099</v>
      </c>
      <c r="L225" s="658">
        <v>188099</v>
      </c>
      <c r="M225" s="595">
        <f>J225*20%</f>
        <v>37619.800000000003</v>
      </c>
      <c r="N225" s="658">
        <f t="shared" ref="N225:N231" si="128">J225-M225</f>
        <v>150479.20000000001</v>
      </c>
      <c r="O225" s="658">
        <f t="shared" ref="O225:O231" si="129">$N225*$W$224</f>
        <v>136635.11360000001</v>
      </c>
      <c r="P225" s="658">
        <f t="shared" ref="P225:P231" si="130">O225-T225-U225</f>
        <v>93065.613600000012</v>
      </c>
      <c r="Q225" s="658">
        <f t="shared" ref="Q225:Q231" si="131">N225-O225</f>
        <v>13844.0864</v>
      </c>
      <c r="R225" s="685"/>
      <c r="S225" s="686">
        <f>87139/4*3</f>
        <v>65354.25</v>
      </c>
      <c r="T225" s="621">
        <f t="shared" ref="T225:T231" si="132">S225*0.02</f>
        <v>1307.085</v>
      </c>
      <c r="U225" s="665">
        <f>87139/2-T225</f>
        <v>42262.415000000001</v>
      </c>
      <c r="V225" s="658">
        <f t="shared" ref="V225:V231" si="133">S225-T225-U225</f>
        <v>21784.75</v>
      </c>
      <c r="W225" s="658"/>
      <c r="X225" s="607">
        <f t="shared" si="109"/>
        <v>0.38393349100251489</v>
      </c>
      <c r="Y225" s="608">
        <f t="shared" ref="Y225:Y233" si="134">S225*12</f>
        <v>784251</v>
      </c>
      <c r="AA225" s="609">
        <f>D225*'Don gia XCSDL DC'!$K$8</f>
        <v>6457.6410467466158</v>
      </c>
      <c r="AB225" s="609">
        <f>D225*'Don gia XCSDL DC'!$K$9</f>
        <v>6161.3768967466167</v>
      </c>
      <c r="AC225" s="609" t="e">
        <f>D225*'Don gia XCSDL DC'!#REF!</f>
        <v>#REF!</v>
      </c>
      <c r="AD225" s="609">
        <f>D225*'Don gia XCSDL DC'!$K$10</f>
        <v>24810.180553707127</v>
      </c>
      <c r="AE225" s="609">
        <f>J225*'Don gia XCSDL DC'!$K$11</f>
        <v>0</v>
      </c>
      <c r="AF225" s="609" t="e">
        <f>S225*'Don gia XCSDL DC'!#REF!</f>
        <v>#REF!</v>
      </c>
      <c r="AG225" s="609" t="e">
        <f>D225*'Don gia XCSDL DC'!#REF!</f>
        <v>#REF!</v>
      </c>
      <c r="AH225" s="609" t="e">
        <f>J225*'Don gia XCSDL DC'!#REF!</f>
        <v>#REF!</v>
      </c>
      <c r="AI225" s="609" t="e">
        <f>D225*'Don gia XCSDL DC'!#REF!</f>
        <v>#REF!</v>
      </c>
      <c r="AJ225" s="609">
        <f>S225*2*'Don gia XCSDL DC'!$K$24</f>
        <v>1117634523.2807224</v>
      </c>
      <c r="AK225" s="609" t="e">
        <f>S225*3*'Don gia XCSDL DC'!#REF!</f>
        <v>#REF!</v>
      </c>
      <c r="AL225" s="609" t="e">
        <f>(S225*2+S225*3)*('Don gia XCSDL DC'!#REF!+'Don gia XCSDL DC'!#REF!+'Don gia XCSDL DC'!#REF!)</f>
        <v>#REF!</v>
      </c>
      <c r="AM225" s="609" t="e">
        <f>O225*'Don gia XCSDL DC'!#REF!*50%</f>
        <v>#REF!</v>
      </c>
      <c r="AN225" s="609" t="e">
        <f>T225*'Don gia XCSDL DC'!#REF!*$AN$8</f>
        <v>#REF!</v>
      </c>
      <c r="AO225" s="609" t="e">
        <f>U225*'Don gia XCSDL DC'!#REF!*1</f>
        <v>#REF!</v>
      </c>
      <c r="AP225" s="609" t="e">
        <f>P225*X225*'Don gia XCSDL DC'!#REF!</f>
        <v>#REF!</v>
      </c>
      <c r="AQ225" s="609" t="e">
        <f>Q225*$AQ$8*'Don gia XCSDL DC'!#REF!</f>
        <v>#REF!</v>
      </c>
      <c r="AR225" s="609" t="e">
        <f>M225*$AR$8*'Don gia XCSDL DC'!#REF!</f>
        <v>#REF!</v>
      </c>
      <c r="AS225" s="609" t="e">
        <f>J225*'Don gia XCSDL DC'!#REF!</f>
        <v>#REF!</v>
      </c>
      <c r="AT225" s="609">
        <f>D225*'Don gia XCSDL DC'!$K$26</f>
        <v>0</v>
      </c>
      <c r="AU225" s="609">
        <f>J225*'Don gia XCSDL DC'!$K$34</f>
        <v>0</v>
      </c>
      <c r="AV225" s="609">
        <f>O225*'Don gia XCSDL DC'!$K$37</f>
        <v>0</v>
      </c>
      <c r="AW225" s="610" t="e">
        <f t="shared" si="125"/>
        <v>#REF!</v>
      </c>
      <c r="AX225" s="611" t="e">
        <f t="shared" si="126"/>
        <v>#REF!</v>
      </c>
      <c r="AY225" s="806" t="e">
        <f t="shared" si="116"/>
        <v>#REF!</v>
      </c>
      <c r="AZ225" s="612" t="e">
        <f>D225*'Don gia XCSDL DC'!#REF!</f>
        <v>#REF!</v>
      </c>
      <c r="BA225" s="613" t="e">
        <f>(Q225+M225)*'Don gia XCSDL DC'!#REF!</f>
        <v>#REF!</v>
      </c>
    </row>
    <row r="226" spans="1:53" ht="24.75" customHeight="1">
      <c r="A226" s="599"/>
      <c r="B226" s="445">
        <v>2</v>
      </c>
      <c r="C226" s="445" t="s">
        <v>484</v>
      </c>
      <c r="D226" s="600">
        <v>11</v>
      </c>
      <c r="E226" s="561">
        <v>11</v>
      </c>
      <c r="F226" s="561">
        <v>1</v>
      </c>
      <c r="G226" s="602">
        <v>1</v>
      </c>
      <c r="H226" s="561"/>
      <c r="I226" s="561"/>
      <c r="J226" s="658">
        <v>158442</v>
      </c>
      <c r="K226" s="658">
        <v>158442</v>
      </c>
      <c r="L226" s="658">
        <v>158442</v>
      </c>
      <c r="M226" s="595">
        <f>J226*20%</f>
        <v>31688.400000000001</v>
      </c>
      <c r="N226" s="658">
        <f t="shared" si="128"/>
        <v>126753.60000000001</v>
      </c>
      <c r="O226" s="658">
        <f t="shared" si="129"/>
        <v>115092.26880000001</v>
      </c>
      <c r="P226" s="658">
        <f t="shared" si="130"/>
        <v>85115.268800000005</v>
      </c>
      <c r="Q226" s="658">
        <f t="shared" si="131"/>
        <v>11661.331200000001</v>
      </c>
      <c r="R226" s="658"/>
      <c r="S226" s="658">
        <f>59954/4*3</f>
        <v>44965.5</v>
      </c>
      <c r="T226" s="621">
        <f t="shared" si="132"/>
        <v>899.31000000000006</v>
      </c>
      <c r="U226" s="665">
        <f>59954/2-T226</f>
        <v>29077.69</v>
      </c>
      <c r="V226" s="658">
        <f t="shared" si="133"/>
        <v>14988.500000000004</v>
      </c>
      <c r="W226" s="658"/>
      <c r="X226" s="607">
        <f t="shared" si="109"/>
        <v>0.33729500205981133</v>
      </c>
      <c r="Y226" s="608">
        <f t="shared" si="134"/>
        <v>539586</v>
      </c>
      <c r="AA226" s="609">
        <f>D226*'Don gia XCSDL DC'!$K$8</f>
        <v>5073.8608224437694</v>
      </c>
      <c r="AB226" s="609">
        <f>D226*'Don gia XCSDL DC'!$K$9</f>
        <v>4841.0818474437701</v>
      </c>
      <c r="AC226" s="609" t="e">
        <f>D226*'Don gia XCSDL DC'!#REF!</f>
        <v>#REF!</v>
      </c>
      <c r="AD226" s="609">
        <f>D226*'Don gia XCSDL DC'!$K$10</f>
        <v>19493.713292198456</v>
      </c>
      <c r="AE226" s="609">
        <f>J226*'Don gia XCSDL DC'!$K$11</f>
        <v>0</v>
      </c>
      <c r="AF226" s="609" t="e">
        <f>S226*'Don gia XCSDL DC'!#REF!</f>
        <v>#REF!</v>
      </c>
      <c r="AG226" s="609" t="e">
        <f>D226*'Don gia XCSDL DC'!#REF!</f>
        <v>#REF!</v>
      </c>
      <c r="AH226" s="609" t="e">
        <f>J226*'Don gia XCSDL DC'!#REF!</f>
        <v>#REF!</v>
      </c>
      <c r="AI226" s="609" t="e">
        <f>D226*'Don gia XCSDL DC'!#REF!</f>
        <v>#REF!</v>
      </c>
      <c r="AJ226" s="609">
        <f>S226*2*'Don gia XCSDL DC'!$K$24</f>
        <v>768962923.70548701</v>
      </c>
      <c r="AK226" s="609" t="e">
        <f>S226*3*'Don gia XCSDL DC'!#REF!</f>
        <v>#REF!</v>
      </c>
      <c r="AL226" s="609" t="e">
        <f>(S226*2+S226*3)*('Don gia XCSDL DC'!#REF!+'Don gia XCSDL DC'!#REF!+'Don gia XCSDL DC'!#REF!)</f>
        <v>#REF!</v>
      </c>
      <c r="AM226" s="609" t="e">
        <f>O226*'Don gia XCSDL DC'!#REF!*50%</f>
        <v>#REF!</v>
      </c>
      <c r="AN226" s="609" t="e">
        <f>T226*'Don gia XCSDL DC'!#REF!*$AN$8</f>
        <v>#REF!</v>
      </c>
      <c r="AO226" s="609" t="e">
        <f>U226*'Don gia XCSDL DC'!#REF!*1</f>
        <v>#REF!</v>
      </c>
      <c r="AP226" s="609" t="e">
        <f>P226*X226*'Don gia XCSDL DC'!#REF!</f>
        <v>#REF!</v>
      </c>
      <c r="AQ226" s="609" t="e">
        <f>Q226*$AQ$8*'Don gia XCSDL DC'!#REF!</f>
        <v>#REF!</v>
      </c>
      <c r="AR226" s="609" t="e">
        <f>M226*$AR$8*'Don gia XCSDL DC'!#REF!</f>
        <v>#REF!</v>
      </c>
      <c r="AS226" s="609" t="e">
        <f>J226*'Don gia XCSDL DC'!#REF!</f>
        <v>#REF!</v>
      </c>
      <c r="AT226" s="609">
        <f>D226*'Don gia XCSDL DC'!$K$26</f>
        <v>0</v>
      </c>
      <c r="AU226" s="609">
        <f>J226*'Don gia XCSDL DC'!$K$34</f>
        <v>0</v>
      </c>
      <c r="AV226" s="609">
        <f>O226*'Don gia XCSDL DC'!$K$37</f>
        <v>0</v>
      </c>
      <c r="AW226" s="610" t="e">
        <f t="shared" si="125"/>
        <v>#REF!</v>
      </c>
      <c r="AX226" s="611" t="e">
        <f t="shared" si="126"/>
        <v>#REF!</v>
      </c>
      <c r="AY226" s="806" t="e">
        <f t="shared" si="116"/>
        <v>#REF!</v>
      </c>
      <c r="AZ226" s="612" t="e">
        <f>D226*'Don gia XCSDL DC'!#REF!</f>
        <v>#REF!</v>
      </c>
      <c r="BA226" s="613" t="e">
        <f>(Q226+M226)*'Don gia XCSDL DC'!#REF!</f>
        <v>#REF!</v>
      </c>
    </row>
    <row r="227" spans="1:53" ht="24.75" customHeight="1">
      <c r="A227" s="599"/>
      <c r="B227" s="445">
        <v>3</v>
      </c>
      <c r="C227" s="445" t="s">
        <v>485</v>
      </c>
      <c r="D227" s="600">
        <v>12</v>
      </c>
      <c r="E227" s="561">
        <v>12</v>
      </c>
      <c r="F227" s="561">
        <v>1</v>
      </c>
      <c r="G227" s="602">
        <v>1</v>
      </c>
      <c r="H227" s="561"/>
      <c r="I227" s="561"/>
      <c r="J227" s="658">
        <v>130323</v>
      </c>
      <c r="K227" s="658">
        <v>120323</v>
      </c>
      <c r="L227" s="658">
        <v>120323</v>
      </c>
      <c r="M227" s="595">
        <f>J227*20%</f>
        <v>26064.600000000002</v>
      </c>
      <c r="N227" s="658">
        <f t="shared" si="128"/>
        <v>104258.4</v>
      </c>
      <c r="O227" s="658">
        <f t="shared" si="129"/>
        <v>94666.627200000003</v>
      </c>
      <c r="P227" s="658">
        <f t="shared" si="130"/>
        <v>34182.627199999995</v>
      </c>
      <c r="Q227" s="658">
        <f t="shared" si="131"/>
        <v>9591.7727999999915</v>
      </c>
      <c r="R227" s="685"/>
      <c r="S227" s="686">
        <f>120968/4*3</f>
        <v>90726</v>
      </c>
      <c r="T227" s="621">
        <f t="shared" si="132"/>
        <v>1814.52</v>
      </c>
      <c r="U227" s="665">
        <f>120968/2-T227</f>
        <v>58669.48</v>
      </c>
      <c r="V227" s="658">
        <f t="shared" si="133"/>
        <v>30241.999999999993</v>
      </c>
      <c r="W227" s="658"/>
      <c r="X227" s="607">
        <f t="shared" si="109"/>
        <v>0.90727351343728402</v>
      </c>
      <c r="Y227" s="608">
        <f t="shared" si="134"/>
        <v>1088712</v>
      </c>
      <c r="AA227" s="609">
        <f>D227*'Don gia XCSDL DC'!$K$8</f>
        <v>5535.1208972113845</v>
      </c>
      <c r="AB227" s="609">
        <f>D227*'Don gia XCSDL DC'!$K$9</f>
        <v>5281.1801972113853</v>
      </c>
      <c r="AC227" s="609" t="e">
        <f>D227*'Don gia XCSDL DC'!#REF!</f>
        <v>#REF!</v>
      </c>
      <c r="AD227" s="609">
        <f>D227*'Don gia XCSDL DC'!$K$10</f>
        <v>21265.869046034681</v>
      </c>
      <c r="AE227" s="609">
        <f>J227*'Don gia XCSDL DC'!$K$11</f>
        <v>0</v>
      </c>
      <c r="AF227" s="609" t="e">
        <f>S227*'Don gia XCSDL DC'!#REF!</f>
        <v>#REF!</v>
      </c>
      <c r="AG227" s="609" t="e">
        <f>D227*'Don gia XCSDL DC'!#REF!</f>
        <v>#REF!</v>
      </c>
      <c r="AH227" s="609" t="e">
        <f>J227*'Don gia XCSDL DC'!#REF!</f>
        <v>#REF!</v>
      </c>
      <c r="AI227" s="609" t="e">
        <f>D227*'Don gia XCSDL DC'!#REF!</f>
        <v>#REF!</v>
      </c>
      <c r="AJ227" s="609">
        <f>S227*2*'Don gia XCSDL DC'!$K$24</f>
        <v>1551521282.2297988</v>
      </c>
      <c r="AK227" s="609" t="e">
        <f>S227*3*'Don gia XCSDL DC'!#REF!</f>
        <v>#REF!</v>
      </c>
      <c r="AL227" s="609" t="e">
        <f>(S227*2+S227*3)*('Don gia XCSDL DC'!#REF!+'Don gia XCSDL DC'!#REF!+'Don gia XCSDL DC'!#REF!)</f>
        <v>#REF!</v>
      </c>
      <c r="AM227" s="609" t="e">
        <f>O227*'Don gia XCSDL DC'!#REF!*50%</f>
        <v>#REF!</v>
      </c>
      <c r="AN227" s="609" t="e">
        <f>T227*'Don gia XCSDL DC'!#REF!*$AN$8</f>
        <v>#REF!</v>
      </c>
      <c r="AO227" s="609" t="e">
        <f>U227*'Don gia XCSDL DC'!#REF!*1</f>
        <v>#REF!</v>
      </c>
      <c r="AP227" s="609" t="e">
        <f>P227*X227*'Don gia XCSDL DC'!#REF!</f>
        <v>#REF!</v>
      </c>
      <c r="AQ227" s="609" t="e">
        <f>Q227*$AQ$8*'Don gia XCSDL DC'!#REF!</f>
        <v>#REF!</v>
      </c>
      <c r="AR227" s="609" t="e">
        <f>M227*$AR$8*'Don gia XCSDL DC'!#REF!</f>
        <v>#REF!</v>
      </c>
      <c r="AS227" s="609" t="e">
        <f>J227*'Don gia XCSDL DC'!#REF!</f>
        <v>#REF!</v>
      </c>
      <c r="AT227" s="609">
        <f>D227*'Don gia XCSDL DC'!$K$26</f>
        <v>0</v>
      </c>
      <c r="AU227" s="609">
        <f>J227*'Don gia XCSDL DC'!$K$34</f>
        <v>0</v>
      </c>
      <c r="AV227" s="609">
        <f>O227*'Don gia XCSDL DC'!$K$37</f>
        <v>0</v>
      </c>
      <c r="AW227" s="610" t="e">
        <f t="shared" si="125"/>
        <v>#REF!</v>
      </c>
      <c r="AX227" s="611" t="e">
        <f t="shared" si="126"/>
        <v>#REF!</v>
      </c>
      <c r="AY227" s="806" t="e">
        <f t="shared" si="116"/>
        <v>#REF!</v>
      </c>
      <c r="AZ227" s="612" t="e">
        <f>D227*'Don gia XCSDL DC'!#REF!</f>
        <v>#REF!</v>
      </c>
      <c r="BA227" s="613" t="e">
        <f>(Q227+M227)*'Don gia XCSDL DC'!#REF!</f>
        <v>#REF!</v>
      </c>
    </row>
    <row r="228" spans="1:53" ht="24.75" customHeight="1">
      <c r="A228" s="599"/>
      <c r="B228" s="445">
        <v>4</v>
      </c>
      <c r="C228" s="445" t="s">
        <v>486</v>
      </c>
      <c r="D228" s="600">
        <v>12</v>
      </c>
      <c r="E228" s="561">
        <v>12</v>
      </c>
      <c r="F228" s="561">
        <v>1</v>
      </c>
      <c r="G228" s="602">
        <v>1</v>
      </c>
      <c r="H228" s="561"/>
      <c r="I228" s="561"/>
      <c r="J228" s="658">
        <v>139925</v>
      </c>
      <c r="K228" s="658">
        <v>139925</v>
      </c>
      <c r="L228" s="658">
        <v>139925</v>
      </c>
      <c r="M228" s="595">
        <f>J228*20%</f>
        <v>27985</v>
      </c>
      <c r="N228" s="658">
        <f t="shared" si="128"/>
        <v>111940</v>
      </c>
      <c r="O228" s="658">
        <f t="shared" si="129"/>
        <v>101641.52</v>
      </c>
      <c r="P228" s="658">
        <f t="shared" si="130"/>
        <v>42530.020000000004</v>
      </c>
      <c r="Q228" s="658">
        <f t="shared" si="131"/>
        <v>10298.479999999996</v>
      </c>
      <c r="R228" s="658"/>
      <c r="S228" s="658">
        <f>118223/4*3</f>
        <v>88667.25</v>
      </c>
      <c r="T228" s="621">
        <f t="shared" si="132"/>
        <v>1773.345</v>
      </c>
      <c r="U228" s="665">
        <f>118223/2-T228</f>
        <v>57338.154999999999</v>
      </c>
      <c r="V228" s="658">
        <f t="shared" si="133"/>
        <v>29555.75</v>
      </c>
      <c r="W228" s="658"/>
      <c r="X228" s="607">
        <f t="shared" si="109"/>
        <v>0.75462447773207686</v>
      </c>
      <c r="Y228" s="608">
        <f t="shared" si="134"/>
        <v>1064007</v>
      </c>
      <c r="AA228" s="609">
        <f>D228*'Don gia XCSDL DC'!$K$8</f>
        <v>5535.1208972113845</v>
      </c>
      <c r="AB228" s="609">
        <f>D228*'Don gia XCSDL DC'!$K$9</f>
        <v>5281.1801972113853</v>
      </c>
      <c r="AC228" s="609" t="e">
        <f>D228*'Don gia XCSDL DC'!#REF!</f>
        <v>#REF!</v>
      </c>
      <c r="AD228" s="609">
        <f>D228*'Don gia XCSDL DC'!$K$10</f>
        <v>21265.869046034681</v>
      </c>
      <c r="AE228" s="609">
        <f>J228*'Don gia XCSDL DC'!$K$11</f>
        <v>0</v>
      </c>
      <c r="AF228" s="609" t="e">
        <f>S228*'Don gia XCSDL DC'!#REF!</f>
        <v>#REF!</v>
      </c>
      <c r="AG228" s="609" t="e">
        <f>D228*'Don gia XCSDL DC'!#REF!</f>
        <v>#REF!</v>
      </c>
      <c r="AH228" s="609" t="e">
        <f>J228*'Don gia XCSDL DC'!#REF!</f>
        <v>#REF!</v>
      </c>
      <c r="AI228" s="609" t="e">
        <f>D228*'Don gia XCSDL DC'!#REF!</f>
        <v>#REF!</v>
      </c>
      <c r="AJ228" s="609">
        <f>S228*2*'Don gia XCSDL DC'!$K$24</f>
        <v>1516314236.4018047</v>
      </c>
      <c r="AK228" s="609" t="e">
        <f>S228*3*'Don gia XCSDL DC'!#REF!</f>
        <v>#REF!</v>
      </c>
      <c r="AL228" s="609" t="e">
        <f>(S228*2+S228*3)*('Don gia XCSDL DC'!#REF!+'Don gia XCSDL DC'!#REF!+'Don gia XCSDL DC'!#REF!)</f>
        <v>#REF!</v>
      </c>
      <c r="AM228" s="609" t="e">
        <f>O228*'Don gia XCSDL DC'!#REF!*50%</f>
        <v>#REF!</v>
      </c>
      <c r="AN228" s="609" t="e">
        <f>T228*'Don gia XCSDL DC'!#REF!*$AN$8</f>
        <v>#REF!</v>
      </c>
      <c r="AO228" s="609" t="e">
        <f>U228*'Don gia XCSDL DC'!#REF!*1</f>
        <v>#REF!</v>
      </c>
      <c r="AP228" s="609" t="e">
        <f>P228*X228*'Don gia XCSDL DC'!#REF!</f>
        <v>#REF!</v>
      </c>
      <c r="AQ228" s="609" t="e">
        <f>Q228*$AQ$8*'Don gia XCSDL DC'!#REF!</f>
        <v>#REF!</v>
      </c>
      <c r="AR228" s="609" t="e">
        <f>M228*$AR$8*'Don gia XCSDL DC'!#REF!</f>
        <v>#REF!</v>
      </c>
      <c r="AS228" s="609" t="e">
        <f>J228*'Don gia XCSDL DC'!#REF!</f>
        <v>#REF!</v>
      </c>
      <c r="AT228" s="609">
        <f>D228*'Don gia XCSDL DC'!$K$26</f>
        <v>0</v>
      </c>
      <c r="AU228" s="609">
        <f>J228*'Don gia XCSDL DC'!$K$34</f>
        <v>0</v>
      </c>
      <c r="AV228" s="609">
        <f>O228*'Don gia XCSDL DC'!$K$37</f>
        <v>0</v>
      </c>
      <c r="AW228" s="610" t="e">
        <f t="shared" si="125"/>
        <v>#REF!</v>
      </c>
      <c r="AX228" s="611" t="e">
        <f t="shared" si="126"/>
        <v>#REF!</v>
      </c>
      <c r="AY228" s="806" t="e">
        <f t="shared" si="116"/>
        <v>#REF!</v>
      </c>
      <c r="AZ228" s="612" t="e">
        <f>D228*'Don gia XCSDL DC'!#REF!</f>
        <v>#REF!</v>
      </c>
      <c r="BA228" s="613" t="e">
        <f>(Q228+M228)*'Don gia XCSDL DC'!#REF!</f>
        <v>#REF!</v>
      </c>
    </row>
    <row r="229" spans="1:53" ht="24.75" customHeight="1">
      <c r="A229" s="599"/>
      <c r="B229" s="445">
        <v>5</v>
      </c>
      <c r="C229" s="445" t="s">
        <v>487</v>
      </c>
      <c r="D229" s="600">
        <v>7</v>
      </c>
      <c r="E229" s="561">
        <v>7</v>
      </c>
      <c r="F229" s="561">
        <v>1</v>
      </c>
      <c r="G229" s="602">
        <v>1</v>
      </c>
      <c r="H229" s="561"/>
      <c r="I229" s="561"/>
      <c r="J229" s="658">
        <v>46211</v>
      </c>
      <c r="K229" s="658">
        <v>46211</v>
      </c>
      <c r="L229" s="658">
        <v>46211</v>
      </c>
      <c r="M229" s="595">
        <f>J229*15%</f>
        <v>6931.65</v>
      </c>
      <c r="N229" s="658">
        <f t="shared" si="128"/>
        <v>39279.35</v>
      </c>
      <c r="O229" s="658">
        <f t="shared" si="129"/>
        <v>35665.649799999999</v>
      </c>
      <c r="P229" s="658">
        <f t="shared" si="130"/>
        <v>21318.899799999999</v>
      </c>
      <c r="Q229" s="658">
        <f t="shared" si="131"/>
        <v>3613.7001999999993</v>
      </c>
      <c r="R229" s="658"/>
      <c r="S229" s="658">
        <f>57387/4*2</f>
        <v>28693.5</v>
      </c>
      <c r="T229" s="621">
        <f t="shared" si="132"/>
        <v>573.87</v>
      </c>
      <c r="U229" s="665">
        <f>57387/4-T229</f>
        <v>13772.88</v>
      </c>
      <c r="V229" s="658">
        <f t="shared" si="133"/>
        <v>14346.750000000002</v>
      </c>
      <c r="W229" s="658"/>
      <c r="X229" s="607">
        <f t="shared" si="109"/>
        <v>0.73694545274880441</v>
      </c>
      <c r="Y229" s="608">
        <f t="shared" si="134"/>
        <v>344322</v>
      </c>
      <c r="AA229" s="609">
        <f>D229*'Don gia XCSDL DC'!$K$8</f>
        <v>3228.8205233733079</v>
      </c>
      <c r="AB229" s="609">
        <f>D229*'Don gia XCSDL DC'!$K$9</f>
        <v>3080.6884483733083</v>
      </c>
      <c r="AC229" s="609" t="e">
        <f>D229*'Don gia XCSDL DC'!#REF!</f>
        <v>#REF!</v>
      </c>
      <c r="AD229" s="609">
        <f>D229*'Don gia XCSDL DC'!$K$10</f>
        <v>12405.090276853563</v>
      </c>
      <c r="AE229" s="609">
        <f>J229*'Don gia XCSDL DC'!$K$11</f>
        <v>0</v>
      </c>
      <c r="AF229" s="609" t="e">
        <f>S229*'Don gia XCSDL DC'!#REF!</f>
        <v>#REF!</v>
      </c>
      <c r="AG229" s="609" t="e">
        <f>D229*'Don gia XCSDL DC'!#REF!</f>
        <v>#REF!</v>
      </c>
      <c r="AH229" s="609" t="e">
        <f>J229*'Don gia XCSDL DC'!#REF!</f>
        <v>#REF!</v>
      </c>
      <c r="AI229" s="609" t="e">
        <f>D229*'Don gia XCSDL DC'!#REF!</f>
        <v>#REF!</v>
      </c>
      <c r="AJ229" s="609">
        <f>S229*2*'Don gia XCSDL DC'!$K$24</f>
        <v>490692589.90433538</v>
      </c>
      <c r="AK229" s="609" t="e">
        <f>S229*3*'Don gia XCSDL DC'!#REF!</f>
        <v>#REF!</v>
      </c>
      <c r="AL229" s="609" t="e">
        <f>(S229*2+S229*3)*('Don gia XCSDL DC'!#REF!+'Don gia XCSDL DC'!#REF!+'Don gia XCSDL DC'!#REF!)</f>
        <v>#REF!</v>
      </c>
      <c r="AM229" s="609" t="e">
        <f>O229*'Don gia XCSDL DC'!#REF!*50%</f>
        <v>#REF!</v>
      </c>
      <c r="AN229" s="609" t="e">
        <f>T229*'Don gia XCSDL DC'!#REF!*$AN$8</f>
        <v>#REF!</v>
      </c>
      <c r="AO229" s="609" t="e">
        <f>U229*'Don gia XCSDL DC'!#REF!*1</f>
        <v>#REF!</v>
      </c>
      <c r="AP229" s="609" t="e">
        <f>P229*X229*'Don gia XCSDL DC'!#REF!</f>
        <v>#REF!</v>
      </c>
      <c r="AQ229" s="609" t="e">
        <f>Q229*$AQ$8*'Don gia XCSDL DC'!#REF!</f>
        <v>#REF!</v>
      </c>
      <c r="AR229" s="609" t="e">
        <f>M229*$AR$8*'Don gia XCSDL DC'!#REF!</f>
        <v>#REF!</v>
      </c>
      <c r="AS229" s="609" t="e">
        <f>J229*'Don gia XCSDL DC'!#REF!</f>
        <v>#REF!</v>
      </c>
      <c r="AT229" s="609">
        <f>D229*'Don gia XCSDL DC'!$K$26</f>
        <v>0</v>
      </c>
      <c r="AU229" s="609">
        <f>J229*'Don gia XCSDL DC'!$K$34</f>
        <v>0</v>
      </c>
      <c r="AV229" s="609">
        <f>O229*'Don gia XCSDL DC'!$K$37</f>
        <v>0</v>
      </c>
      <c r="AW229" s="610" t="e">
        <f t="shared" si="125"/>
        <v>#REF!</v>
      </c>
      <c r="AX229" s="611" t="e">
        <f t="shared" si="126"/>
        <v>#REF!</v>
      </c>
      <c r="AY229" s="806" t="e">
        <f t="shared" si="116"/>
        <v>#REF!</v>
      </c>
      <c r="AZ229" s="612" t="e">
        <f>D229*'Don gia XCSDL DC'!#REF!</f>
        <v>#REF!</v>
      </c>
      <c r="BA229" s="613" t="e">
        <f>(Q229+M229)*'Don gia XCSDL DC'!#REF!</f>
        <v>#REF!</v>
      </c>
    </row>
    <row r="230" spans="1:53" ht="24.75" customHeight="1">
      <c r="A230" s="599"/>
      <c r="B230" s="445">
        <v>6</v>
      </c>
      <c r="C230" s="445" t="s">
        <v>488</v>
      </c>
      <c r="D230" s="600">
        <v>16</v>
      </c>
      <c r="E230" s="561">
        <v>16</v>
      </c>
      <c r="F230" s="561">
        <v>1</v>
      </c>
      <c r="G230" s="602">
        <v>1</v>
      </c>
      <c r="H230" s="561"/>
      <c r="I230" s="561"/>
      <c r="J230" s="658">
        <v>153150</v>
      </c>
      <c r="K230" s="658">
        <v>153150</v>
      </c>
      <c r="L230" s="658">
        <v>153150</v>
      </c>
      <c r="M230" s="595">
        <f>J230*20%</f>
        <v>30630</v>
      </c>
      <c r="N230" s="658">
        <f t="shared" si="128"/>
        <v>122520</v>
      </c>
      <c r="O230" s="658">
        <f t="shared" si="129"/>
        <v>111248.16</v>
      </c>
      <c r="P230" s="658">
        <f t="shared" si="130"/>
        <v>93581.785000000003</v>
      </c>
      <c r="Q230" s="658">
        <f t="shared" si="131"/>
        <v>11271.839999999997</v>
      </c>
      <c r="R230" s="658"/>
      <c r="S230" s="658">
        <f>141331/4*3</f>
        <v>105998.25</v>
      </c>
      <c r="T230" s="621">
        <f t="shared" si="132"/>
        <v>2119.9650000000001</v>
      </c>
      <c r="U230" s="665">
        <f>141331/8-T230</f>
        <v>15546.41</v>
      </c>
      <c r="V230" s="658">
        <f t="shared" si="133"/>
        <v>88331.875</v>
      </c>
      <c r="W230" s="658"/>
      <c r="X230" s="607">
        <f t="shared" si="109"/>
        <v>0.95487632881065287</v>
      </c>
      <c r="Y230" s="608">
        <f t="shared" si="134"/>
        <v>1271979</v>
      </c>
      <c r="AA230" s="609">
        <f>D230*'Don gia XCSDL DC'!$K$8</f>
        <v>7380.1611962818461</v>
      </c>
      <c r="AB230" s="609">
        <f>D230*'Don gia XCSDL DC'!$K$9</f>
        <v>7041.5735962818471</v>
      </c>
      <c r="AC230" s="609" t="e">
        <f>D230*'Don gia XCSDL DC'!#REF!</f>
        <v>#REF!</v>
      </c>
      <c r="AD230" s="609">
        <f>D230*'Don gia XCSDL DC'!$K$10</f>
        <v>28354.492061379573</v>
      </c>
      <c r="AE230" s="609">
        <f>J230*'Don gia XCSDL DC'!$K$11</f>
        <v>0</v>
      </c>
      <c r="AF230" s="609" t="e">
        <f>S230*'Don gia XCSDL DC'!#REF!</f>
        <v>#REF!</v>
      </c>
      <c r="AG230" s="609" t="e">
        <f>D230*'Don gia XCSDL DC'!#REF!</f>
        <v>#REF!</v>
      </c>
      <c r="AH230" s="609" t="e">
        <f>J230*'Don gia XCSDL DC'!#REF!</f>
        <v>#REF!</v>
      </c>
      <c r="AI230" s="609" t="e">
        <f>D230*'Don gia XCSDL DC'!#REF!</f>
        <v>#REF!</v>
      </c>
      <c r="AJ230" s="609">
        <f>S230*2*'Don gia XCSDL DC'!$K$24</f>
        <v>1812694715.452183</v>
      </c>
      <c r="AK230" s="609" t="e">
        <f>S230*3*'Don gia XCSDL DC'!#REF!</f>
        <v>#REF!</v>
      </c>
      <c r="AL230" s="609" t="e">
        <f>(S230*2+S230*3)*('Don gia XCSDL DC'!#REF!+'Don gia XCSDL DC'!#REF!+'Don gia XCSDL DC'!#REF!)</f>
        <v>#REF!</v>
      </c>
      <c r="AM230" s="609" t="e">
        <f>O230*'Don gia XCSDL DC'!#REF!*50%</f>
        <v>#REF!</v>
      </c>
      <c r="AN230" s="609" t="e">
        <f>T230*'Don gia XCSDL DC'!#REF!*$AN$8</f>
        <v>#REF!</v>
      </c>
      <c r="AO230" s="609" t="e">
        <f>U230*'Don gia XCSDL DC'!#REF!*1</f>
        <v>#REF!</v>
      </c>
      <c r="AP230" s="609" t="e">
        <f>P230*X230*'Don gia XCSDL DC'!#REF!</f>
        <v>#REF!</v>
      </c>
      <c r="AQ230" s="609" t="e">
        <f>Q230*$AQ$8*'Don gia XCSDL DC'!#REF!</f>
        <v>#REF!</v>
      </c>
      <c r="AR230" s="609" t="e">
        <f>M230*$AR$8*'Don gia XCSDL DC'!#REF!</f>
        <v>#REF!</v>
      </c>
      <c r="AS230" s="609" t="e">
        <f>J230*'Don gia XCSDL DC'!#REF!</f>
        <v>#REF!</v>
      </c>
      <c r="AT230" s="609">
        <f>D230*'Don gia XCSDL DC'!$K$26</f>
        <v>0</v>
      </c>
      <c r="AU230" s="609">
        <f>J230*'Don gia XCSDL DC'!$K$34</f>
        <v>0</v>
      </c>
      <c r="AV230" s="609">
        <f>O230*'Don gia XCSDL DC'!$K$37</f>
        <v>0</v>
      </c>
      <c r="AW230" s="610" t="e">
        <f t="shared" si="125"/>
        <v>#REF!</v>
      </c>
      <c r="AX230" s="611" t="e">
        <f t="shared" si="126"/>
        <v>#REF!</v>
      </c>
      <c r="AY230" s="806" t="e">
        <f t="shared" si="116"/>
        <v>#REF!</v>
      </c>
      <c r="AZ230" s="612" t="e">
        <f>D230*'Don gia XCSDL DC'!#REF!</f>
        <v>#REF!</v>
      </c>
      <c r="BA230" s="613" t="e">
        <f>(Q230+M230)*'Don gia XCSDL DC'!#REF!</f>
        <v>#REF!</v>
      </c>
    </row>
    <row r="231" spans="1:53" ht="24.75" customHeight="1">
      <c r="A231" s="599"/>
      <c r="B231" s="445">
        <v>7</v>
      </c>
      <c r="C231" s="445" t="s">
        <v>489</v>
      </c>
      <c r="D231" s="600">
        <v>13</v>
      </c>
      <c r="E231" s="561">
        <v>13</v>
      </c>
      <c r="F231" s="561">
        <v>1</v>
      </c>
      <c r="G231" s="602">
        <v>1</v>
      </c>
      <c r="H231" s="561"/>
      <c r="I231" s="561"/>
      <c r="J231" s="658">
        <v>110943</v>
      </c>
      <c r="K231" s="658">
        <v>110943</v>
      </c>
      <c r="L231" s="658">
        <v>110943</v>
      </c>
      <c r="M231" s="595">
        <f>J231*20%</f>
        <v>22188.600000000002</v>
      </c>
      <c r="N231" s="658">
        <f t="shared" si="128"/>
        <v>88754.4</v>
      </c>
      <c r="O231" s="658">
        <f t="shared" si="129"/>
        <v>80588.99519999999</v>
      </c>
      <c r="P231" s="658">
        <f t="shared" si="130"/>
        <v>51790.24519999999</v>
      </c>
      <c r="Q231" s="658">
        <f t="shared" si="131"/>
        <v>8165.4048000000039</v>
      </c>
      <c r="R231" s="658"/>
      <c r="S231" s="658">
        <f>230390/6*2</f>
        <v>76796.666666666672</v>
      </c>
      <c r="T231" s="621">
        <f t="shared" si="132"/>
        <v>1535.9333333333334</v>
      </c>
      <c r="U231" s="665">
        <f>230390/8-T231</f>
        <v>27262.816666666666</v>
      </c>
      <c r="V231" s="658">
        <f t="shared" si="133"/>
        <v>47997.916666666672</v>
      </c>
      <c r="W231" s="658"/>
      <c r="X231" s="607">
        <f t="shared" si="109"/>
        <v>0.94110181946784455</v>
      </c>
      <c r="Y231" s="608">
        <f t="shared" si="134"/>
        <v>921560</v>
      </c>
      <c r="AA231" s="609">
        <f>D231*'Don gia XCSDL DC'!$K$8</f>
        <v>5996.3809719789997</v>
      </c>
      <c r="AB231" s="609">
        <f>D231*'Don gia XCSDL DC'!$K$9</f>
        <v>5721.2785469790006</v>
      </c>
      <c r="AC231" s="609" t="e">
        <f>D231*'Don gia XCSDL DC'!#REF!</f>
        <v>#REF!</v>
      </c>
      <c r="AD231" s="609">
        <f>D231*'Don gia XCSDL DC'!$K$10</f>
        <v>23038.024799870902</v>
      </c>
      <c r="AE231" s="609">
        <f>J231*'Don gia XCSDL DC'!$K$11</f>
        <v>0</v>
      </c>
      <c r="AF231" s="609" t="e">
        <f>S231*'Don gia XCSDL DC'!#REF!</f>
        <v>#REF!</v>
      </c>
      <c r="AG231" s="609" t="e">
        <f>D231*'Don gia XCSDL DC'!#REF!</f>
        <v>#REF!</v>
      </c>
      <c r="AH231" s="609" t="e">
        <f>J231*'Don gia XCSDL DC'!#REF!</f>
        <v>#REF!</v>
      </c>
      <c r="AI231" s="609" t="e">
        <f>D231*'Don gia XCSDL DC'!#REF!</f>
        <v>#REF!</v>
      </c>
      <c r="AJ231" s="609">
        <f>S231*2*'Don gia XCSDL DC'!$K$24</f>
        <v>1313313303.1065087</v>
      </c>
      <c r="AK231" s="609" t="e">
        <f>S231*3*'Don gia XCSDL DC'!#REF!</f>
        <v>#REF!</v>
      </c>
      <c r="AL231" s="609" t="e">
        <f>(S231*2+S231*3)*('Don gia XCSDL DC'!#REF!+'Don gia XCSDL DC'!#REF!+'Don gia XCSDL DC'!#REF!)</f>
        <v>#REF!</v>
      </c>
      <c r="AM231" s="609" t="e">
        <f>O231*'Don gia XCSDL DC'!#REF!*50%</f>
        <v>#REF!</v>
      </c>
      <c r="AN231" s="609" t="e">
        <f>T231*'Don gia XCSDL DC'!#REF!*$AN$8</f>
        <v>#REF!</v>
      </c>
      <c r="AO231" s="609" t="e">
        <f>U231*'Don gia XCSDL DC'!#REF!*1</f>
        <v>#REF!</v>
      </c>
      <c r="AP231" s="609" t="e">
        <f>P231*X231*'Don gia XCSDL DC'!#REF!</f>
        <v>#REF!</v>
      </c>
      <c r="AQ231" s="609" t="e">
        <f>Q231*$AQ$8*'Don gia XCSDL DC'!#REF!</f>
        <v>#REF!</v>
      </c>
      <c r="AR231" s="609" t="e">
        <f>M231*$AR$8*'Don gia XCSDL DC'!#REF!</f>
        <v>#REF!</v>
      </c>
      <c r="AS231" s="609" t="e">
        <f>J231*'Don gia XCSDL DC'!#REF!</f>
        <v>#REF!</v>
      </c>
      <c r="AT231" s="609">
        <f>D231*'Don gia XCSDL DC'!$K$26</f>
        <v>0</v>
      </c>
      <c r="AU231" s="609">
        <f>J231*'Don gia XCSDL DC'!$K$34</f>
        <v>0</v>
      </c>
      <c r="AV231" s="609">
        <f>O231*'Don gia XCSDL DC'!$K$37</f>
        <v>0</v>
      </c>
      <c r="AW231" s="610" t="e">
        <f t="shared" si="125"/>
        <v>#REF!</v>
      </c>
      <c r="AX231" s="611" t="e">
        <f t="shared" si="126"/>
        <v>#REF!</v>
      </c>
      <c r="AY231" s="806" t="e">
        <f t="shared" si="116"/>
        <v>#REF!</v>
      </c>
      <c r="AZ231" s="612" t="e">
        <f>D231*'Don gia XCSDL DC'!#REF!</f>
        <v>#REF!</v>
      </c>
      <c r="BA231" s="613" t="e">
        <f>(Q231+M231)*'Don gia XCSDL DC'!#REF!</f>
        <v>#REF!</v>
      </c>
    </row>
    <row r="232" spans="1:53" s="723" customFormat="1" ht="24.75" customHeight="1">
      <c r="A232" s="712"/>
      <c r="B232" s="713"/>
      <c r="C232" s="713" t="s">
        <v>490</v>
      </c>
      <c r="D232" s="714">
        <v>12</v>
      </c>
      <c r="E232" s="775">
        <v>12</v>
      </c>
      <c r="F232" s="775"/>
      <c r="G232" s="775">
        <v>1</v>
      </c>
      <c r="H232" s="775"/>
      <c r="I232" s="775"/>
      <c r="J232" s="778">
        <v>121790</v>
      </c>
      <c r="K232" s="716"/>
      <c r="L232" s="734">
        <v>121790</v>
      </c>
      <c r="M232" s="777"/>
      <c r="N232" s="778"/>
      <c r="O232" s="778"/>
      <c r="P232" s="778"/>
      <c r="Q232" s="778"/>
      <c r="R232" s="778"/>
      <c r="S232" s="778"/>
      <c r="T232" s="778"/>
      <c r="U232" s="730"/>
      <c r="V232" s="778"/>
      <c r="W232" s="778"/>
      <c r="X232" s="721" t="e">
        <f t="shared" si="109"/>
        <v>#DIV/0!</v>
      </c>
      <c r="Y232" s="722">
        <f t="shared" si="134"/>
        <v>0</v>
      </c>
      <c r="AA232" s="609"/>
      <c r="AB232" s="609"/>
      <c r="AC232" s="609"/>
      <c r="AD232" s="724"/>
      <c r="AE232" s="724"/>
      <c r="AF232" s="724"/>
      <c r="AG232" s="724"/>
      <c r="AH232" s="724"/>
      <c r="AI232" s="724"/>
      <c r="AJ232" s="724"/>
      <c r="AK232" s="724"/>
      <c r="AL232" s="724"/>
      <c r="AM232" s="724"/>
      <c r="AN232" s="724"/>
      <c r="AO232" s="724"/>
      <c r="AP232" s="724"/>
      <c r="AQ232" s="724"/>
      <c r="AR232" s="724"/>
      <c r="AS232" s="724"/>
      <c r="AT232" s="724"/>
      <c r="AU232" s="724"/>
      <c r="AV232" s="609"/>
      <c r="AW232" s="610"/>
      <c r="AX232" s="611"/>
      <c r="AY232" s="807"/>
      <c r="AZ232" s="612"/>
      <c r="BA232" s="613"/>
    </row>
    <row r="233" spans="1:53" s="723" customFormat="1" ht="24.75" customHeight="1">
      <c r="A233" s="712"/>
      <c r="B233" s="713"/>
      <c r="C233" s="713" t="s">
        <v>491</v>
      </c>
      <c r="D233" s="714">
        <v>21</v>
      </c>
      <c r="E233" s="775"/>
      <c r="F233" s="775"/>
      <c r="G233" s="775">
        <v>1</v>
      </c>
      <c r="H233" s="775"/>
      <c r="I233" s="775"/>
      <c r="J233" s="778">
        <v>223241</v>
      </c>
      <c r="K233" s="716"/>
      <c r="L233" s="734"/>
      <c r="M233" s="777"/>
      <c r="N233" s="778"/>
      <c r="O233" s="778"/>
      <c r="P233" s="778"/>
      <c r="Q233" s="778"/>
      <c r="R233" s="778"/>
      <c r="S233" s="778"/>
      <c r="T233" s="778"/>
      <c r="U233" s="730"/>
      <c r="V233" s="778"/>
      <c r="W233" s="778"/>
      <c r="X233" s="721" t="e">
        <f t="shared" si="109"/>
        <v>#DIV/0!</v>
      </c>
      <c r="Y233" s="722">
        <f t="shared" si="134"/>
        <v>0</v>
      </c>
      <c r="AA233" s="609"/>
      <c r="AB233" s="609"/>
      <c r="AC233" s="609"/>
      <c r="AD233" s="724"/>
      <c r="AE233" s="724"/>
      <c r="AF233" s="724"/>
      <c r="AG233" s="724"/>
      <c r="AH233" s="724"/>
      <c r="AI233" s="724"/>
      <c r="AJ233" s="724"/>
      <c r="AK233" s="724"/>
      <c r="AL233" s="724"/>
      <c r="AM233" s="724"/>
      <c r="AN233" s="724"/>
      <c r="AO233" s="724"/>
      <c r="AP233" s="724"/>
      <c r="AQ233" s="724"/>
      <c r="AR233" s="724"/>
      <c r="AS233" s="724"/>
      <c r="AT233" s="724"/>
      <c r="AU233" s="724"/>
      <c r="AV233" s="609"/>
      <c r="AW233" s="610"/>
      <c r="AX233" s="611"/>
      <c r="AY233" s="807"/>
      <c r="AZ233" s="612"/>
      <c r="BA233" s="613"/>
    </row>
    <row r="234" spans="1:53" s="598" customFormat="1" ht="24.75" customHeight="1">
      <c r="A234" s="589">
        <v>9</v>
      </c>
      <c r="B234" s="1945" t="s">
        <v>492</v>
      </c>
      <c r="C234" s="1945"/>
      <c r="D234" s="594"/>
      <c r="E234" s="595">
        <f>SUM(E235:E236)</f>
        <v>46</v>
      </c>
      <c r="F234" s="595">
        <f>SUM(F235:F236)</f>
        <v>2</v>
      </c>
      <c r="G234" s="596">
        <f>SUM(G235:G242)</f>
        <v>8</v>
      </c>
      <c r="H234" s="595">
        <v>9</v>
      </c>
      <c r="I234" s="595"/>
      <c r="J234" s="595">
        <f t="shared" ref="J234:Q234" si="135">SUM(J235:J236)</f>
        <v>515826.64999999997</v>
      </c>
      <c r="K234" s="595">
        <f t="shared" si="135"/>
        <v>294703</v>
      </c>
      <c r="L234" s="595">
        <f t="shared" si="135"/>
        <v>412739</v>
      </c>
      <c r="M234" s="595">
        <f t="shared" si="135"/>
        <v>25791.332499999997</v>
      </c>
      <c r="N234" s="595">
        <f t="shared" si="135"/>
        <v>490035.3175</v>
      </c>
      <c r="O234" s="595">
        <f t="shared" si="135"/>
        <v>452792.63337</v>
      </c>
      <c r="P234" s="595">
        <f t="shared" si="135"/>
        <v>354045.6155128571</v>
      </c>
      <c r="Q234" s="595">
        <f t="shared" si="135"/>
        <v>37242.68412999998</v>
      </c>
      <c r="R234" s="595"/>
      <c r="S234" s="595">
        <f>SUM(S235:S236)</f>
        <v>103436</v>
      </c>
      <c r="T234" s="595">
        <f>SUM(T235:T236)</f>
        <v>18699.099999999999</v>
      </c>
      <c r="U234" s="595">
        <f>SUM(U235:U236)</f>
        <v>80047.917857142864</v>
      </c>
      <c r="V234" s="595">
        <f>SUM(V235:V236)</f>
        <v>4688.9821428571322</v>
      </c>
      <c r="W234" s="597">
        <v>0.92400000000000004</v>
      </c>
      <c r="X234" s="607">
        <f t="shared" si="109"/>
        <v>0.20630496109049332</v>
      </c>
      <c r="Y234" s="595">
        <f>SUM(Y235:Y236)</f>
        <v>1241232</v>
      </c>
      <c r="AA234" s="609"/>
      <c r="AB234" s="609"/>
      <c r="AC234" s="609"/>
      <c r="AD234" s="609"/>
      <c r="AE234" s="609"/>
      <c r="AF234" s="609"/>
      <c r="AG234" s="609"/>
      <c r="AH234" s="609"/>
      <c r="AI234" s="609"/>
      <c r="AJ234" s="609"/>
      <c r="AK234" s="609"/>
      <c r="AL234" s="609"/>
      <c r="AM234" s="609"/>
      <c r="AN234" s="609"/>
      <c r="AO234" s="609"/>
      <c r="AP234" s="609"/>
      <c r="AQ234" s="609"/>
      <c r="AR234" s="609"/>
      <c r="AS234" s="609"/>
      <c r="AT234" s="609"/>
      <c r="AU234" s="609"/>
      <c r="AV234" s="609"/>
      <c r="AW234" s="610"/>
      <c r="AX234" s="611"/>
      <c r="AY234" s="806"/>
      <c r="AZ234" s="612"/>
      <c r="BA234" s="613"/>
    </row>
    <row r="235" spans="1:53" ht="24.75" customHeight="1">
      <c r="A235" s="599"/>
      <c r="B235" s="445">
        <v>1</v>
      </c>
      <c r="C235" s="445" t="s">
        <v>493</v>
      </c>
      <c r="D235" s="600">
        <v>27</v>
      </c>
      <c r="E235" s="561">
        <v>27</v>
      </c>
      <c r="F235" s="561">
        <v>1</v>
      </c>
      <c r="G235" s="602">
        <v>1</v>
      </c>
      <c r="H235" s="561"/>
      <c r="I235" s="561"/>
      <c r="J235" s="658">
        <f>295091*1.15</f>
        <v>339354.64999999997</v>
      </c>
      <c r="K235" s="658">
        <v>177055</v>
      </c>
      <c r="L235" s="658">
        <v>295091</v>
      </c>
      <c r="M235" s="595">
        <f>J235*5%</f>
        <v>16967.732499999998</v>
      </c>
      <c r="N235" s="658">
        <f>J235-M235</f>
        <v>322386.91749999998</v>
      </c>
      <c r="O235" s="658">
        <f>$N235*$W$234</f>
        <v>297885.51176999998</v>
      </c>
      <c r="P235" s="658">
        <f>O235-T235-U235</f>
        <v>215603.36891285711</v>
      </c>
      <c r="Q235" s="658">
        <f>N235-O235</f>
        <v>24501.405729999999</v>
      </c>
      <c r="R235" s="658"/>
      <c r="S235" s="687">
        <v>83555</v>
      </c>
      <c r="T235" s="621">
        <f>S235*0.2</f>
        <v>16711</v>
      </c>
      <c r="U235" s="665">
        <f>230390/2.8-T235</f>
        <v>65571.14285714287</v>
      </c>
      <c r="V235" s="658">
        <f>S235-T235-U235</f>
        <v>1272.8571428571304</v>
      </c>
      <c r="W235" s="658"/>
      <c r="X235" s="607">
        <f t="shared" si="109"/>
        <v>0.20040080043469211</v>
      </c>
      <c r="Y235" s="608">
        <f>S235*12</f>
        <v>1002660</v>
      </c>
      <c r="AA235" s="609">
        <f>D235*'Don gia XCSDL DC'!$K$8</f>
        <v>12454.022018725615</v>
      </c>
      <c r="AB235" s="609">
        <f>D235*'Don gia XCSDL DC'!$K$9</f>
        <v>11882.655443725616</v>
      </c>
      <c r="AC235" s="609" t="e">
        <f>D235*'Don gia XCSDL DC'!#REF!</f>
        <v>#REF!</v>
      </c>
      <c r="AD235" s="609">
        <f>D235*'Don gia XCSDL DC'!$K$10</f>
        <v>47848.205353578029</v>
      </c>
      <c r="AE235" s="609">
        <f>J235*'Don gia XCSDL DC'!$K$11</f>
        <v>0</v>
      </c>
      <c r="AF235" s="609" t="e">
        <f>S235*'Don gia XCSDL DC'!#REF!</f>
        <v>#REF!</v>
      </c>
      <c r="AG235" s="609" t="e">
        <f>D235*'Don gia XCSDL DC'!#REF!</f>
        <v>#REF!</v>
      </c>
      <c r="AH235" s="609" t="e">
        <f>J235*'Don gia XCSDL DC'!#REF!</f>
        <v>#REF!</v>
      </c>
      <c r="AI235" s="609" t="e">
        <f>D235*'Don gia XCSDL DC'!#REF!</f>
        <v>#REF!</v>
      </c>
      <c r="AJ235" s="609">
        <f>S235*2*'Don gia XCSDL DC'!$K$24</f>
        <v>1428888750.0464127</v>
      </c>
      <c r="AK235" s="609" t="e">
        <f>S235*3*'Don gia XCSDL DC'!#REF!</f>
        <v>#REF!</v>
      </c>
      <c r="AL235" s="609" t="e">
        <f>(S235*2+S235*3)*('Don gia XCSDL DC'!#REF!+'Don gia XCSDL DC'!#REF!+'Don gia XCSDL DC'!#REF!)</f>
        <v>#REF!</v>
      </c>
      <c r="AM235" s="609" t="e">
        <f>O235*'Don gia XCSDL DC'!#REF!*50%</f>
        <v>#REF!</v>
      </c>
      <c r="AN235" s="609" t="e">
        <f>T235*'Don gia XCSDL DC'!#REF!*$AN$8</f>
        <v>#REF!</v>
      </c>
      <c r="AO235" s="609" t="e">
        <f>U235*'Don gia XCSDL DC'!#REF!*1</f>
        <v>#REF!</v>
      </c>
      <c r="AP235" s="609" t="e">
        <f>P235*X235*'Don gia XCSDL DC'!#REF!</f>
        <v>#REF!</v>
      </c>
      <c r="AQ235" s="609" t="e">
        <f>Q235*$AQ$8*'Don gia XCSDL DC'!#REF!</f>
        <v>#REF!</v>
      </c>
      <c r="AR235" s="609" t="e">
        <f>M235*$AR$8*'Don gia XCSDL DC'!#REF!</f>
        <v>#REF!</v>
      </c>
      <c r="AS235" s="609" t="e">
        <f>J235*'Don gia XCSDL DC'!#REF!</f>
        <v>#REF!</v>
      </c>
      <c r="AT235" s="609">
        <f>D235*'Don gia XCSDL DC'!$K$26</f>
        <v>0</v>
      </c>
      <c r="AU235" s="609">
        <f>J235*'Don gia XCSDL DC'!$K$34</f>
        <v>0</v>
      </c>
      <c r="AV235" s="609">
        <f>O235*'Don gia XCSDL DC'!$K$37</f>
        <v>0</v>
      </c>
      <c r="AW235" s="610" t="e">
        <f t="shared" si="125"/>
        <v>#REF!</v>
      </c>
      <c r="AX235" s="611" t="e">
        <f t="shared" si="126"/>
        <v>#REF!</v>
      </c>
      <c r="AY235" s="806" t="e">
        <f t="shared" si="116"/>
        <v>#REF!</v>
      </c>
      <c r="AZ235" s="612" t="e">
        <f>D235*'Don gia XCSDL DC'!#REF!</f>
        <v>#REF!</v>
      </c>
      <c r="BA235" s="613" t="e">
        <f>(Q235+M235)*'Don gia XCSDL DC'!#REF!</f>
        <v>#REF!</v>
      </c>
    </row>
    <row r="236" spans="1:53" ht="24.75" customHeight="1">
      <c r="A236" s="599"/>
      <c r="B236" s="445">
        <v>2</v>
      </c>
      <c r="C236" s="445" t="s">
        <v>494</v>
      </c>
      <c r="D236" s="600">
        <v>19</v>
      </c>
      <c r="E236" s="561">
        <v>19</v>
      </c>
      <c r="F236" s="561">
        <v>1</v>
      </c>
      <c r="G236" s="602">
        <v>1</v>
      </c>
      <c r="H236" s="561"/>
      <c r="I236" s="561"/>
      <c r="J236" s="658">
        <f>117648*1.5</f>
        <v>176472</v>
      </c>
      <c r="K236" s="658">
        <v>117648</v>
      </c>
      <c r="L236" s="658">
        <v>117648</v>
      </c>
      <c r="M236" s="595">
        <f>J236*5%</f>
        <v>8823.6</v>
      </c>
      <c r="N236" s="658">
        <f>J236-M236</f>
        <v>167648.4</v>
      </c>
      <c r="O236" s="658">
        <f>$N236*$W$234</f>
        <v>154907.12160000001</v>
      </c>
      <c r="P236" s="658">
        <f>O236-T236-U236</f>
        <v>138442.24660000001</v>
      </c>
      <c r="Q236" s="658">
        <f>N236-O236</f>
        <v>12741.278399999981</v>
      </c>
      <c r="R236" s="658"/>
      <c r="S236" s="688">
        <v>19881</v>
      </c>
      <c r="T236" s="621">
        <f>S236*0.1</f>
        <v>1988.1000000000001</v>
      </c>
      <c r="U236" s="665">
        <f>131719/8-T236</f>
        <v>14476.775</v>
      </c>
      <c r="V236" s="658">
        <f>S236-T236-U236</f>
        <v>3416.1250000000018</v>
      </c>
      <c r="W236" s="658"/>
      <c r="X236" s="607">
        <f t="shared" si="109"/>
        <v>0.21549982002449647</v>
      </c>
      <c r="Y236" s="608">
        <f>S236*12</f>
        <v>238572</v>
      </c>
      <c r="AA236" s="609">
        <f>D236*'Don gia XCSDL DC'!$K$8</f>
        <v>8763.9414205846915</v>
      </c>
      <c r="AB236" s="609">
        <f>D236*'Don gia XCSDL DC'!$K$9</f>
        <v>8361.8686455846928</v>
      </c>
      <c r="AC236" s="609" t="e">
        <f>D236*'Don gia XCSDL DC'!#REF!</f>
        <v>#REF!</v>
      </c>
      <c r="AD236" s="609">
        <f>D236*'Don gia XCSDL DC'!$K$10</f>
        <v>33670.959322888244</v>
      </c>
      <c r="AE236" s="609">
        <f>J236*'Don gia XCSDL DC'!$K$11</f>
        <v>0</v>
      </c>
      <c r="AF236" s="609" t="e">
        <f>S236*'Don gia XCSDL DC'!#REF!</f>
        <v>#REF!</v>
      </c>
      <c r="AG236" s="609" t="e">
        <f>D236*'Don gia XCSDL DC'!#REF!</f>
        <v>#REF!</v>
      </c>
      <c r="AH236" s="609" t="e">
        <f>J236*'Don gia XCSDL DC'!#REF!</f>
        <v>#REF!</v>
      </c>
      <c r="AI236" s="609" t="e">
        <f>D236*'Don gia XCSDL DC'!#REF!</f>
        <v>#REF!</v>
      </c>
      <c r="AJ236" s="609">
        <f>S236*2*'Don gia XCSDL DC'!$K$24</f>
        <v>339988477.52585399</v>
      </c>
      <c r="AK236" s="609" t="e">
        <f>S236*3*'Don gia XCSDL DC'!#REF!</f>
        <v>#REF!</v>
      </c>
      <c r="AL236" s="609" t="e">
        <f>(S236*2+S236*3)*('Don gia XCSDL DC'!#REF!+'Don gia XCSDL DC'!#REF!+'Don gia XCSDL DC'!#REF!)</f>
        <v>#REF!</v>
      </c>
      <c r="AM236" s="609" t="e">
        <f>O236*'Don gia XCSDL DC'!#REF!*50%</f>
        <v>#REF!</v>
      </c>
      <c r="AN236" s="609" t="e">
        <f>T236*'Don gia XCSDL DC'!#REF!*$AN$8</f>
        <v>#REF!</v>
      </c>
      <c r="AO236" s="609" t="e">
        <f>U236*'Don gia XCSDL DC'!#REF!*1</f>
        <v>#REF!</v>
      </c>
      <c r="AP236" s="609" t="e">
        <f>P236*X236*'Don gia XCSDL DC'!#REF!</f>
        <v>#REF!</v>
      </c>
      <c r="AQ236" s="609" t="e">
        <f>Q236*$AQ$8*'Don gia XCSDL DC'!#REF!</f>
        <v>#REF!</v>
      </c>
      <c r="AR236" s="609" t="e">
        <f>M236*$AR$8*'Don gia XCSDL DC'!#REF!</f>
        <v>#REF!</v>
      </c>
      <c r="AS236" s="609" t="e">
        <f>J236*'Don gia XCSDL DC'!#REF!</f>
        <v>#REF!</v>
      </c>
      <c r="AT236" s="609">
        <f>D236*'Don gia XCSDL DC'!$K$26</f>
        <v>0</v>
      </c>
      <c r="AU236" s="609">
        <f>J236*'Don gia XCSDL DC'!$K$34</f>
        <v>0</v>
      </c>
      <c r="AV236" s="609">
        <f>O236*'Don gia XCSDL DC'!$K$37</f>
        <v>0</v>
      </c>
      <c r="AW236" s="610" t="e">
        <f t="shared" si="125"/>
        <v>#REF!</v>
      </c>
      <c r="AX236" s="611" t="e">
        <f t="shared" si="126"/>
        <v>#REF!</v>
      </c>
      <c r="AY236" s="806" t="e">
        <f t="shared" si="116"/>
        <v>#REF!</v>
      </c>
      <c r="AZ236" s="612" t="e">
        <f>D236*'Don gia XCSDL DC'!#REF!</f>
        <v>#REF!</v>
      </c>
      <c r="BA236" s="613" t="e">
        <f>(Q236+M236)*'Don gia XCSDL DC'!#REF!</f>
        <v>#REF!</v>
      </c>
    </row>
    <row r="237" spans="1:53" s="723" customFormat="1" ht="24.75" customHeight="1">
      <c r="A237" s="712"/>
      <c r="B237" s="713"/>
      <c r="C237" s="780" t="s">
        <v>495</v>
      </c>
      <c r="D237" s="781">
        <v>27</v>
      </c>
      <c r="E237" s="757">
        <v>27</v>
      </c>
      <c r="F237" s="775"/>
      <c r="G237" s="775">
        <v>1</v>
      </c>
      <c r="H237" s="775"/>
      <c r="I237" s="775"/>
      <c r="J237" s="778">
        <v>83093</v>
      </c>
      <c r="K237" s="716"/>
      <c r="L237" s="756">
        <f>29964+32407+20722</f>
        <v>83093</v>
      </c>
      <c r="M237" s="777"/>
      <c r="N237" s="778"/>
      <c r="O237" s="778"/>
      <c r="P237" s="778"/>
      <c r="Q237" s="778"/>
      <c r="R237" s="778"/>
      <c r="S237" s="778"/>
      <c r="T237" s="778"/>
      <c r="U237" s="730"/>
      <c r="V237" s="778"/>
      <c r="W237" s="778"/>
      <c r="X237" s="721"/>
      <c r="Y237" s="722"/>
      <c r="AA237" s="609"/>
      <c r="AB237" s="609"/>
      <c r="AC237" s="609"/>
      <c r="AD237" s="724"/>
      <c r="AE237" s="724"/>
      <c r="AF237" s="724"/>
      <c r="AG237" s="724"/>
      <c r="AH237" s="724"/>
      <c r="AI237" s="724"/>
      <c r="AJ237" s="724"/>
      <c r="AK237" s="724"/>
      <c r="AL237" s="724"/>
      <c r="AM237" s="724"/>
      <c r="AN237" s="724"/>
      <c r="AO237" s="724"/>
      <c r="AP237" s="724"/>
      <c r="AQ237" s="724"/>
      <c r="AR237" s="724"/>
      <c r="AS237" s="724"/>
      <c r="AT237" s="724"/>
      <c r="AU237" s="724"/>
      <c r="AV237" s="609"/>
      <c r="AW237" s="610"/>
      <c r="AX237" s="611"/>
      <c r="AY237" s="807"/>
      <c r="AZ237" s="612"/>
      <c r="BA237" s="613"/>
    </row>
    <row r="238" spans="1:53" s="723" customFormat="1" ht="24.75" customHeight="1">
      <c r="A238" s="712"/>
      <c r="B238" s="713"/>
      <c r="C238" s="780" t="s">
        <v>496</v>
      </c>
      <c r="D238" s="781">
        <v>15</v>
      </c>
      <c r="E238" s="757">
        <v>15</v>
      </c>
      <c r="F238" s="775"/>
      <c r="G238" s="775">
        <v>1</v>
      </c>
      <c r="H238" s="775"/>
      <c r="I238" s="775"/>
      <c r="J238" s="778">
        <v>56042</v>
      </c>
      <c r="K238" s="716"/>
      <c r="L238" s="756">
        <f>34202+21840</f>
        <v>56042</v>
      </c>
      <c r="M238" s="777"/>
      <c r="N238" s="778"/>
      <c r="O238" s="778"/>
      <c r="P238" s="778"/>
      <c r="Q238" s="778"/>
      <c r="R238" s="778"/>
      <c r="S238" s="778"/>
      <c r="T238" s="778"/>
      <c r="U238" s="730"/>
      <c r="V238" s="778"/>
      <c r="W238" s="778"/>
      <c r="X238" s="721"/>
      <c r="Y238" s="722"/>
      <c r="AA238" s="609"/>
      <c r="AB238" s="609"/>
      <c r="AC238" s="609"/>
      <c r="AD238" s="724"/>
      <c r="AE238" s="724"/>
      <c r="AF238" s="724"/>
      <c r="AG238" s="724"/>
      <c r="AH238" s="724"/>
      <c r="AI238" s="724"/>
      <c r="AJ238" s="724"/>
      <c r="AK238" s="724"/>
      <c r="AL238" s="724"/>
      <c r="AM238" s="724"/>
      <c r="AN238" s="724"/>
      <c r="AO238" s="724"/>
      <c r="AP238" s="724"/>
      <c r="AQ238" s="724"/>
      <c r="AR238" s="724"/>
      <c r="AS238" s="724"/>
      <c r="AT238" s="724"/>
      <c r="AU238" s="724"/>
      <c r="AV238" s="609"/>
      <c r="AW238" s="610"/>
      <c r="AX238" s="611"/>
      <c r="AY238" s="807"/>
      <c r="AZ238" s="612"/>
      <c r="BA238" s="613"/>
    </row>
    <row r="239" spans="1:53" s="723" customFormat="1" ht="24.75" customHeight="1">
      <c r="A239" s="712"/>
      <c r="B239" s="713"/>
      <c r="C239" s="780" t="s">
        <v>497</v>
      </c>
      <c r="D239" s="781">
        <v>14</v>
      </c>
      <c r="E239" s="757">
        <v>14</v>
      </c>
      <c r="F239" s="775"/>
      <c r="G239" s="775">
        <v>1</v>
      </c>
      <c r="H239" s="775"/>
      <c r="I239" s="775"/>
      <c r="J239" s="778">
        <v>72837</v>
      </c>
      <c r="K239" s="716"/>
      <c r="L239" s="756">
        <v>72837</v>
      </c>
      <c r="M239" s="777"/>
      <c r="N239" s="778"/>
      <c r="O239" s="778"/>
      <c r="P239" s="778"/>
      <c r="Q239" s="778"/>
      <c r="R239" s="778"/>
      <c r="S239" s="778"/>
      <c r="T239" s="778"/>
      <c r="U239" s="730"/>
      <c r="V239" s="778"/>
      <c r="W239" s="778"/>
      <c r="X239" s="721"/>
      <c r="Y239" s="722"/>
      <c r="AA239" s="609"/>
      <c r="AB239" s="609"/>
      <c r="AC239" s="609"/>
      <c r="AD239" s="724"/>
      <c r="AE239" s="724"/>
      <c r="AF239" s="724"/>
      <c r="AG239" s="724"/>
      <c r="AH239" s="724"/>
      <c r="AI239" s="724"/>
      <c r="AJ239" s="724"/>
      <c r="AK239" s="724"/>
      <c r="AL239" s="724"/>
      <c r="AM239" s="724"/>
      <c r="AN239" s="724"/>
      <c r="AO239" s="724"/>
      <c r="AP239" s="724"/>
      <c r="AQ239" s="724"/>
      <c r="AR239" s="724"/>
      <c r="AS239" s="724"/>
      <c r="AT239" s="724"/>
      <c r="AU239" s="724"/>
      <c r="AV239" s="609"/>
      <c r="AW239" s="610"/>
      <c r="AX239" s="611"/>
      <c r="AY239" s="807"/>
      <c r="AZ239" s="612"/>
      <c r="BA239" s="613"/>
    </row>
    <row r="240" spans="1:53" s="723" customFormat="1" ht="24.75" customHeight="1">
      <c r="A240" s="712"/>
      <c r="B240" s="713"/>
      <c r="C240" s="780" t="s">
        <v>498</v>
      </c>
      <c r="D240" s="781">
        <v>13</v>
      </c>
      <c r="E240" s="757">
        <v>13</v>
      </c>
      <c r="F240" s="775"/>
      <c r="G240" s="775">
        <v>1</v>
      </c>
      <c r="H240" s="775"/>
      <c r="I240" s="775"/>
      <c r="J240" s="778">
        <v>90743</v>
      </c>
      <c r="K240" s="716"/>
      <c r="L240" s="756">
        <f>48428+42315</f>
        <v>90743</v>
      </c>
      <c r="M240" s="777"/>
      <c r="N240" s="778"/>
      <c r="O240" s="778"/>
      <c r="P240" s="778"/>
      <c r="Q240" s="778"/>
      <c r="R240" s="778"/>
      <c r="S240" s="778"/>
      <c r="T240" s="778"/>
      <c r="U240" s="730"/>
      <c r="V240" s="778"/>
      <c r="W240" s="778"/>
      <c r="X240" s="721"/>
      <c r="Y240" s="722"/>
      <c r="AA240" s="609"/>
      <c r="AB240" s="609"/>
      <c r="AC240" s="609"/>
      <c r="AD240" s="724"/>
      <c r="AE240" s="724"/>
      <c r="AF240" s="724"/>
      <c r="AG240" s="724"/>
      <c r="AH240" s="724"/>
      <c r="AI240" s="724"/>
      <c r="AJ240" s="724"/>
      <c r="AK240" s="724"/>
      <c r="AL240" s="724"/>
      <c r="AM240" s="724"/>
      <c r="AN240" s="724"/>
      <c r="AO240" s="724"/>
      <c r="AP240" s="724"/>
      <c r="AQ240" s="724"/>
      <c r="AR240" s="724"/>
      <c r="AS240" s="724"/>
      <c r="AT240" s="724"/>
      <c r="AU240" s="724"/>
      <c r="AV240" s="609"/>
      <c r="AW240" s="610"/>
      <c r="AX240" s="611"/>
      <c r="AY240" s="807"/>
      <c r="AZ240" s="612"/>
      <c r="BA240" s="613"/>
    </row>
    <row r="241" spans="1:53" s="723" customFormat="1" ht="24.75" customHeight="1">
      <c r="A241" s="712"/>
      <c r="B241" s="713"/>
      <c r="C241" s="713" t="s">
        <v>499</v>
      </c>
      <c r="D241" s="714">
        <v>14</v>
      </c>
      <c r="E241" s="775">
        <v>14</v>
      </c>
      <c r="F241" s="775"/>
      <c r="G241" s="775">
        <v>1</v>
      </c>
      <c r="H241" s="775"/>
      <c r="I241" s="775"/>
      <c r="J241" s="778">
        <v>27471</v>
      </c>
      <c r="K241" s="716"/>
      <c r="L241" s="756">
        <v>27471</v>
      </c>
      <c r="M241" s="777"/>
      <c r="N241" s="778"/>
      <c r="O241" s="778"/>
      <c r="P241" s="778"/>
      <c r="Q241" s="778"/>
      <c r="R241" s="778"/>
      <c r="S241" s="778"/>
      <c r="T241" s="778"/>
      <c r="U241" s="730"/>
      <c r="V241" s="778"/>
      <c r="W241" s="778"/>
      <c r="X241" s="721"/>
      <c r="Y241" s="722"/>
      <c r="AA241" s="609"/>
      <c r="AB241" s="609"/>
      <c r="AC241" s="609"/>
      <c r="AD241" s="724"/>
      <c r="AE241" s="724"/>
      <c r="AF241" s="724"/>
      <c r="AG241" s="724"/>
      <c r="AH241" s="724"/>
      <c r="AI241" s="724"/>
      <c r="AJ241" s="724"/>
      <c r="AK241" s="724"/>
      <c r="AL241" s="724"/>
      <c r="AM241" s="724"/>
      <c r="AN241" s="724"/>
      <c r="AO241" s="724"/>
      <c r="AP241" s="724"/>
      <c r="AQ241" s="724"/>
      <c r="AR241" s="724"/>
      <c r="AS241" s="724"/>
      <c r="AT241" s="724"/>
      <c r="AU241" s="724"/>
      <c r="AV241" s="609"/>
      <c r="AW241" s="610"/>
      <c r="AX241" s="611"/>
      <c r="AY241" s="807"/>
      <c r="AZ241" s="612"/>
      <c r="BA241" s="613"/>
    </row>
    <row r="242" spans="1:53" s="723" customFormat="1" ht="24.75" customHeight="1">
      <c r="A242" s="712"/>
      <c r="B242" s="713"/>
      <c r="C242" s="713" t="s">
        <v>500</v>
      </c>
      <c r="D242" s="714">
        <v>8</v>
      </c>
      <c r="E242" s="775">
        <v>8</v>
      </c>
      <c r="F242" s="775"/>
      <c r="G242" s="775">
        <v>1</v>
      </c>
      <c r="H242" s="775"/>
      <c r="I242" s="775"/>
      <c r="J242" s="778">
        <v>14068</v>
      </c>
      <c r="K242" s="716"/>
      <c r="L242" s="756">
        <v>14068</v>
      </c>
      <c r="M242" s="777"/>
      <c r="N242" s="778"/>
      <c r="O242" s="778"/>
      <c r="P242" s="778"/>
      <c r="Q242" s="778"/>
      <c r="R242" s="778"/>
      <c r="S242" s="778"/>
      <c r="T242" s="778"/>
      <c r="U242" s="730"/>
      <c r="V242" s="778"/>
      <c r="W242" s="778"/>
      <c r="X242" s="721"/>
      <c r="Y242" s="722"/>
      <c r="AA242" s="609"/>
      <c r="AB242" s="609"/>
      <c r="AC242" s="609"/>
      <c r="AD242" s="724"/>
      <c r="AE242" s="724"/>
      <c r="AF242" s="724"/>
      <c r="AG242" s="724"/>
      <c r="AH242" s="724"/>
      <c r="AI242" s="724"/>
      <c r="AJ242" s="724"/>
      <c r="AK242" s="724"/>
      <c r="AL242" s="724"/>
      <c r="AM242" s="724"/>
      <c r="AN242" s="724"/>
      <c r="AO242" s="724"/>
      <c r="AP242" s="724"/>
      <c r="AQ242" s="724"/>
      <c r="AR242" s="724"/>
      <c r="AS242" s="724"/>
      <c r="AT242" s="724"/>
      <c r="AU242" s="724"/>
      <c r="AV242" s="609"/>
      <c r="AW242" s="610"/>
      <c r="AX242" s="611"/>
      <c r="AY242" s="807"/>
      <c r="AZ242" s="612"/>
      <c r="BA242" s="613"/>
    </row>
    <row r="243" spans="1:53" s="598" customFormat="1" ht="24.75" customHeight="1">
      <c r="A243" s="589">
        <v>10</v>
      </c>
      <c r="B243" s="1945" t="s">
        <v>501</v>
      </c>
      <c r="C243" s="1945"/>
      <c r="D243" s="594"/>
      <c r="E243" s="595">
        <f>SUM(E244:E247)</f>
        <v>43</v>
      </c>
      <c r="F243" s="595">
        <f>SUM(F244:F247)</f>
        <v>4</v>
      </c>
      <c r="G243" s="596">
        <f>SUM(G244:G249)</f>
        <v>6</v>
      </c>
      <c r="H243" s="595">
        <v>12</v>
      </c>
      <c r="I243" s="595"/>
      <c r="J243" s="595">
        <f t="shared" ref="J243:Q243" si="136">SUM(J244:J247)</f>
        <v>473470.07999999996</v>
      </c>
      <c r="K243" s="595">
        <f t="shared" si="136"/>
        <v>308133.40000000002</v>
      </c>
      <c r="L243" s="595">
        <f t="shared" si="136"/>
        <v>240491.7</v>
      </c>
      <c r="M243" s="595">
        <f t="shared" si="136"/>
        <v>23673.504000000001</v>
      </c>
      <c r="N243" s="595">
        <f t="shared" si="136"/>
        <v>449796.576</v>
      </c>
      <c r="O243" s="595">
        <f t="shared" si="136"/>
        <v>415612.03622399992</v>
      </c>
      <c r="P243" s="595">
        <f t="shared" si="136"/>
        <v>142110.71587767964</v>
      </c>
      <c r="Q243" s="595">
        <f t="shared" si="136"/>
        <v>34184.539775999991</v>
      </c>
      <c r="R243" s="595"/>
      <c r="S243" s="595">
        <f>SUM(S244:S247)</f>
        <v>291657.56928</v>
      </c>
      <c r="T243" s="595">
        <f>SUM(T244:T247)</f>
        <v>29025.575040000003</v>
      </c>
      <c r="U243" s="595">
        <f>SUM(U244:U247)</f>
        <v>244475.74530632034</v>
      </c>
      <c r="V243" s="595">
        <f>SUM(V244:V247)</f>
        <v>18156.248933679693</v>
      </c>
      <c r="W243" s="597">
        <v>0.92400000000000004</v>
      </c>
      <c r="X243" s="607">
        <f t="shared" si="109"/>
        <v>0.29841669289744632</v>
      </c>
      <c r="Y243" s="595">
        <f>SUM(Y244:Y247)</f>
        <v>3499890.8313600002</v>
      </c>
      <c r="AA243" s="609"/>
      <c r="AB243" s="609"/>
      <c r="AC243" s="609"/>
      <c r="AD243" s="609"/>
      <c r="AE243" s="609"/>
      <c r="AF243" s="609"/>
      <c r="AG243" s="609"/>
      <c r="AH243" s="609"/>
      <c r="AI243" s="609"/>
      <c r="AJ243" s="609"/>
      <c r="AK243" s="609"/>
      <c r="AL243" s="609"/>
      <c r="AM243" s="609"/>
      <c r="AN243" s="609"/>
      <c r="AO243" s="609"/>
      <c r="AP243" s="609"/>
      <c r="AQ243" s="609"/>
      <c r="AR243" s="609"/>
      <c r="AS243" s="609"/>
      <c r="AT243" s="609"/>
      <c r="AU243" s="609"/>
      <c r="AV243" s="609"/>
      <c r="AW243" s="610"/>
      <c r="AX243" s="611"/>
      <c r="AY243" s="806"/>
      <c r="AZ243" s="612"/>
      <c r="BA243" s="613"/>
    </row>
    <row r="244" spans="1:53" ht="24.75" customHeight="1">
      <c r="A244" s="599"/>
      <c r="B244" s="445">
        <v>1</v>
      </c>
      <c r="C244" s="445" t="s">
        <v>502</v>
      </c>
      <c r="D244" s="600">
        <v>11</v>
      </c>
      <c r="E244" s="561">
        <v>11</v>
      </c>
      <c r="F244" s="561">
        <v>1</v>
      </c>
      <c r="G244" s="602">
        <v>1</v>
      </c>
      <c r="H244" s="561"/>
      <c r="I244" s="561"/>
      <c r="J244" s="658">
        <f>130255.2*1.2</f>
        <v>156306.23999999999</v>
      </c>
      <c r="K244" s="658">
        <f>65127.6*2</f>
        <v>130255.2</v>
      </c>
      <c r="L244" s="658">
        <v>65127.6</v>
      </c>
      <c r="M244" s="595">
        <f>J244*5%</f>
        <v>7815.3119999999999</v>
      </c>
      <c r="N244" s="658">
        <f>J244-M244</f>
        <v>148490.92799999999</v>
      </c>
      <c r="O244" s="658">
        <f>$N244*$W$243</f>
        <v>137205.61747199998</v>
      </c>
      <c r="P244" s="658">
        <f>O244-T244-U244</f>
        <v>43893.344744727263</v>
      </c>
      <c r="Q244" s="658">
        <f>N244-O244</f>
        <v>11285.310528000002</v>
      </c>
      <c r="R244" s="658"/>
      <c r="S244" s="658">
        <v>96284.643840000004</v>
      </c>
      <c r="T244" s="621">
        <f>S244*0.2</f>
        <v>19256.928768000002</v>
      </c>
      <c r="U244" s="665">
        <f>205287/2.2-T244</f>
        <v>74055.343959272723</v>
      </c>
      <c r="V244" s="658">
        <f>S244-T244-U244</f>
        <v>2972.3711127272836</v>
      </c>
      <c r="W244" s="658"/>
      <c r="X244" s="607">
        <f t="shared" si="109"/>
        <v>0.25012102919737578</v>
      </c>
      <c r="Y244" s="608">
        <f>S244*12</f>
        <v>1155415.7260799999</v>
      </c>
      <c r="AA244" s="609">
        <f>D244*'Don gia XCSDL DC'!$K$8</f>
        <v>5073.8608224437694</v>
      </c>
      <c r="AB244" s="609">
        <f>D244*'Don gia XCSDL DC'!$K$9</f>
        <v>4841.0818474437701</v>
      </c>
      <c r="AC244" s="609" t="e">
        <f>D244*'Don gia XCSDL DC'!#REF!</f>
        <v>#REF!</v>
      </c>
      <c r="AD244" s="609">
        <f>D244*'Don gia XCSDL DC'!$K$10</f>
        <v>19493.713292198456</v>
      </c>
      <c r="AE244" s="609">
        <f>J244*'Don gia XCSDL DC'!$K$11</f>
        <v>0</v>
      </c>
      <c r="AF244" s="609" t="e">
        <f>S244*'Don gia XCSDL DC'!#REF!</f>
        <v>#REF!</v>
      </c>
      <c r="AG244" s="609" t="e">
        <f>D244*'Don gia XCSDL DC'!#REF!</f>
        <v>#REF!</v>
      </c>
      <c r="AH244" s="609" t="e">
        <f>J244*'Don gia XCSDL DC'!#REF!</f>
        <v>#REF!</v>
      </c>
      <c r="AI244" s="609" t="e">
        <f>D244*'Don gia XCSDL DC'!#REF!</f>
        <v>#REF!</v>
      </c>
      <c r="AJ244" s="609">
        <f>S244*2*'Don gia XCSDL DC'!$K$24</f>
        <v>1646580628.1515365</v>
      </c>
      <c r="AK244" s="609" t="e">
        <f>S244*3*'Don gia XCSDL DC'!#REF!</f>
        <v>#REF!</v>
      </c>
      <c r="AL244" s="609" t="e">
        <f>(S244*2+S244*3)*('Don gia XCSDL DC'!#REF!+'Don gia XCSDL DC'!#REF!+'Don gia XCSDL DC'!#REF!)</f>
        <v>#REF!</v>
      </c>
      <c r="AM244" s="609" t="e">
        <f>O244*'Don gia XCSDL DC'!#REF!*50%</f>
        <v>#REF!</v>
      </c>
      <c r="AN244" s="609" t="e">
        <f>T244*'Don gia XCSDL DC'!#REF!*$AN$8</f>
        <v>#REF!</v>
      </c>
      <c r="AO244" s="609" t="e">
        <f>U244*'Don gia XCSDL DC'!#REF!*1</f>
        <v>#REF!</v>
      </c>
      <c r="AP244" s="609" t="e">
        <f>P244*X244*'Don gia XCSDL DC'!#REF!</f>
        <v>#REF!</v>
      </c>
      <c r="AQ244" s="609" t="e">
        <f>Q244*$AQ$8*'Don gia XCSDL DC'!#REF!</f>
        <v>#REF!</v>
      </c>
      <c r="AR244" s="609" t="e">
        <f>M244*$AR$8*'Don gia XCSDL DC'!#REF!</f>
        <v>#REF!</v>
      </c>
      <c r="AS244" s="609" t="e">
        <f>J244*'Don gia XCSDL DC'!#REF!</f>
        <v>#REF!</v>
      </c>
      <c r="AT244" s="609">
        <f>D244*'Don gia XCSDL DC'!$K$26</f>
        <v>0</v>
      </c>
      <c r="AU244" s="609">
        <f>J244*'Don gia XCSDL DC'!$K$34</f>
        <v>0</v>
      </c>
      <c r="AV244" s="609">
        <f>O244*'Don gia XCSDL DC'!$K$37</f>
        <v>0</v>
      </c>
      <c r="AW244" s="610" t="e">
        <f t="shared" si="125"/>
        <v>#REF!</v>
      </c>
      <c r="AX244" s="611" t="e">
        <f t="shared" si="126"/>
        <v>#REF!</v>
      </c>
      <c r="AY244" s="806" t="e">
        <f t="shared" si="116"/>
        <v>#REF!</v>
      </c>
      <c r="AZ244" s="612" t="e">
        <f>D244*'Don gia XCSDL DC'!#REF!</f>
        <v>#REF!</v>
      </c>
      <c r="BA244" s="613" t="e">
        <f>(Q244+M244)*'Don gia XCSDL DC'!#REF!</f>
        <v>#REF!</v>
      </c>
    </row>
    <row r="245" spans="1:53" ht="24.75" customHeight="1">
      <c r="A245" s="599"/>
      <c r="B245" s="445">
        <v>2</v>
      </c>
      <c r="C245" s="445" t="s">
        <v>503</v>
      </c>
      <c r="D245" s="600">
        <v>10</v>
      </c>
      <c r="E245" s="561">
        <v>10</v>
      </c>
      <c r="F245" s="561">
        <v>1</v>
      </c>
      <c r="G245" s="602">
        <v>1</v>
      </c>
      <c r="H245" s="561"/>
      <c r="I245" s="561"/>
      <c r="J245" s="658">
        <f>84452*1.2</f>
        <v>101342.39999999999</v>
      </c>
      <c r="K245" s="658">
        <f>2*42226</f>
        <v>84452</v>
      </c>
      <c r="L245" s="658">
        <v>42226</v>
      </c>
      <c r="M245" s="595">
        <f>J245*5%</f>
        <v>5067.12</v>
      </c>
      <c r="N245" s="658">
        <f>J245-M245</f>
        <v>96275.28</v>
      </c>
      <c r="O245" s="658">
        <f>$N245*$W$243</f>
        <v>88958.358720000004</v>
      </c>
      <c r="P245" s="658">
        <f>O245-T245-U245</f>
        <v>33208.358719999997</v>
      </c>
      <c r="Q245" s="658">
        <f>N245-O245</f>
        <v>7316.921279999995</v>
      </c>
      <c r="R245" s="658"/>
      <c r="S245" s="658">
        <v>62426.91840000001</v>
      </c>
      <c r="T245" s="621">
        <f>S245*0.05</f>
        <v>3121.3459200000007</v>
      </c>
      <c r="U245" s="665">
        <f>33450/0.6-T245</f>
        <v>52628.65408</v>
      </c>
      <c r="V245" s="658">
        <f>S245-T245-U245</f>
        <v>6676.9184000000096</v>
      </c>
      <c r="W245" s="658"/>
      <c r="X245" s="607">
        <f t="shared" si="109"/>
        <v>0.35737545705637874</v>
      </c>
      <c r="Y245" s="608">
        <f>S245*12</f>
        <v>749123.02080000006</v>
      </c>
      <c r="AA245" s="609">
        <f>D245*'Don gia XCSDL DC'!$K$8</f>
        <v>4612.6007476761533</v>
      </c>
      <c r="AB245" s="609">
        <f>D245*'Don gia XCSDL DC'!$K$9</f>
        <v>4400.983497676154</v>
      </c>
      <c r="AC245" s="609" t="e">
        <f>D245*'Don gia XCSDL DC'!#REF!</f>
        <v>#REF!</v>
      </c>
      <c r="AD245" s="609">
        <f>D245*'Don gia XCSDL DC'!$K$10</f>
        <v>17721.557538362234</v>
      </c>
      <c r="AE245" s="609">
        <f>J245*'Don gia XCSDL DC'!$K$11</f>
        <v>0</v>
      </c>
      <c r="AF245" s="609" t="e">
        <f>S245*'Don gia XCSDL DC'!#REF!</f>
        <v>#REF!</v>
      </c>
      <c r="AG245" s="609" t="e">
        <f>D245*'Don gia XCSDL DC'!#REF!</f>
        <v>#REF!</v>
      </c>
      <c r="AH245" s="609" t="e">
        <f>J245*'Don gia XCSDL DC'!#REF!</f>
        <v>#REF!</v>
      </c>
      <c r="AI245" s="609" t="e">
        <f>D245*'Don gia XCSDL DC'!#REF!</f>
        <v>#REF!</v>
      </c>
      <c r="AJ245" s="609">
        <f>S245*2*'Don gia XCSDL DC'!$K$24</f>
        <v>1067573710.7513064</v>
      </c>
      <c r="AK245" s="609" t="e">
        <f>S245*3*'Don gia XCSDL DC'!#REF!</f>
        <v>#REF!</v>
      </c>
      <c r="AL245" s="609" t="e">
        <f>(S245*2+S245*3)*('Don gia XCSDL DC'!#REF!+'Don gia XCSDL DC'!#REF!+'Don gia XCSDL DC'!#REF!)</f>
        <v>#REF!</v>
      </c>
      <c r="AM245" s="609" t="e">
        <f>O245*'Don gia XCSDL DC'!#REF!*50%</f>
        <v>#REF!</v>
      </c>
      <c r="AN245" s="609" t="e">
        <f>T245*'Don gia XCSDL DC'!#REF!*$AN$8</f>
        <v>#REF!</v>
      </c>
      <c r="AO245" s="609" t="e">
        <f>U245*'Don gia XCSDL DC'!#REF!*1</f>
        <v>#REF!</v>
      </c>
      <c r="AP245" s="609" t="e">
        <f>P245*X245*'Don gia XCSDL DC'!#REF!</f>
        <v>#REF!</v>
      </c>
      <c r="AQ245" s="609" t="e">
        <f>Q245*$AQ$8*'Don gia XCSDL DC'!#REF!</f>
        <v>#REF!</v>
      </c>
      <c r="AR245" s="609" t="e">
        <f>M245*$AR$8*'Don gia XCSDL DC'!#REF!</f>
        <v>#REF!</v>
      </c>
      <c r="AS245" s="609" t="e">
        <f>J245*'Don gia XCSDL DC'!#REF!</f>
        <v>#REF!</v>
      </c>
      <c r="AT245" s="609">
        <f>D245*'Don gia XCSDL DC'!$K$26</f>
        <v>0</v>
      </c>
      <c r="AU245" s="609">
        <f>J245*'Don gia XCSDL DC'!$K$34</f>
        <v>0</v>
      </c>
      <c r="AV245" s="609">
        <f>O245*'Don gia XCSDL DC'!$K$37</f>
        <v>0</v>
      </c>
      <c r="AW245" s="610" t="e">
        <f t="shared" si="125"/>
        <v>#REF!</v>
      </c>
      <c r="AX245" s="611" t="e">
        <f t="shared" si="126"/>
        <v>#REF!</v>
      </c>
      <c r="AY245" s="806" t="e">
        <f t="shared" si="116"/>
        <v>#REF!</v>
      </c>
      <c r="AZ245" s="612" t="e">
        <f>D245*'Don gia XCSDL DC'!#REF!</f>
        <v>#REF!</v>
      </c>
      <c r="BA245" s="613" t="e">
        <f>(Q245+M245)*'Don gia XCSDL DC'!#REF!</f>
        <v>#REF!</v>
      </c>
    </row>
    <row r="246" spans="1:53" ht="24.75" customHeight="1">
      <c r="A246" s="599"/>
      <c r="B246" s="445">
        <v>3</v>
      </c>
      <c r="C246" s="445" t="s">
        <v>504</v>
      </c>
      <c r="D246" s="600">
        <v>11</v>
      </c>
      <c r="E246" s="561">
        <v>11</v>
      </c>
      <c r="F246" s="561">
        <v>1</v>
      </c>
      <c r="G246" s="602">
        <v>1</v>
      </c>
      <c r="H246" s="561"/>
      <c r="I246" s="561"/>
      <c r="J246" s="658">
        <f>93426.2*1.2</f>
        <v>112111.43999999999</v>
      </c>
      <c r="K246" s="658">
        <f>2*46713.1</f>
        <v>93426.2</v>
      </c>
      <c r="L246" s="658">
        <v>46713.099999999991</v>
      </c>
      <c r="M246" s="595">
        <f>J246*5%</f>
        <v>5605.5720000000001</v>
      </c>
      <c r="N246" s="658">
        <f>J246-M246</f>
        <v>106505.86799999999</v>
      </c>
      <c r="O246" s="658">
        <f>$N246*$W$243</f>
        <v>98411.422031999988</v>
      </c>
      <c r="P246" s="658">
        <f>O246-T246-U246</f>
        <v>35825.707746285705</v>
      </c>
      <c r="Q246" s="658">
        <f>N246-O246</f>
        <v>8094.445968</v>
      </c>
      <c r="R246" s="658"/>
      <c r="S246" s="658">
        <v>69060.647040000011</v>
      </c>
      <c r="T246" s="621">
        <f>S246*0.05</f>
        <v>3453.0323520000006</v>
      </c>
      <c r="U246" s="665">
        <f>43810/0.7-T246</f>
        <v>59132.681933714288</v>
      </c>
      <c r="V246" s="658">
        <f>S246-T246-U246</f>
        <v>6474.9327542857282</v>
      </c>
      <c r="W246" s="658"/>
      <c r="X246" s="607">
        <f t="shared" si="109"/>
        <v>0.34102538249979958</v>
      </c>
      <c r="Y246" s="608">
        <f>S246*12</f>
        <v>828727.76448000013</v>
      </c>
      <c r="AA246" s="609">
        <f>D246*'Don gia XCSDL DC'!$K$8</f>
        <v>5073.8608224437694</v>
      </c>
      <c r="AB246" s="609">
        <f>D246*'Don gia XCSDL DC'!$K$9</f>
        <v>4841.0818474437701</v>
      </c>
      <c r="AC246" s="609" t="e">
        <f>D246*'Don gia XCSDL DC'!#REF!</f>
        <v>#REF!</v>
      </c>
      <c r="AD246" s="609">
        <f>D246*'Don gia XCSDL DC'!$K$10</f>
        <v>19493.713292198456</v>
      </c>
      <c r="AE246" s="609">
        <f>J246*'Don gia XCSDL DC'!$K$11</f>
        <v>0</v>
      </c>
      <c r="AF246" s="609" t="e">
        <f>S246*'Don gia XCSDL DC'!#REF!</f>
        <v>#REF!</v>
      </c>
      <c r="AG246" s="609" t="e">
        <f>D246*'Don gia XCSDL DC'!#REF!</f>
        <v>#REF!</v>
      </c>
      <c r="AH246" s="609" t="e">
        <f>J246*'Don gia XCSDL DC'!#REF!</f>
        <v>#REF!</v>
      </c>
      <c r="AI246" s="609" t="e">
        <f>D246*'Don gia XCSDL DC'!#REF!</f>
        <v>#REF!</v>
      </c>
      <c r="AJ246" s="609">
        <f>S246*2*'Don gia XCSDL DC'!$K$24</f>
        <v>1181018270.9159489</v>
      </c>
      <c r="AK246" s="609" t="e">
        <f>S246*3*'Don gia XCSDL DC'!#REF!</f>
        <v>#REF!</v>
      </c>
      <c r="AL246" s="609" t="e">
        <f>(S246*2+S246*3)*('Don gia XCSDL DC'!#REF!+'Don gia XCSDL DC'!#REF!+'Don gia XCSDL DC'!#REF!)</f>
        <v>#REF!</v>
      </c>
      <c r="AM246" s="609" t="e">
        <f>O246*'Don gia XCSDL DC'!#REF!*50%</f>
        <v>#REF!</v>
      </c>
      <c r="AN246" s="609" t="e">
        <f>T246*'Don gia XCSDL DC'!#REF!*$AN$8</f>
        <v>#REF!</v>
      </c>
      <c r="AO246" s="609" t="e">
        <f>U246*'Don gia XCSDL DC'!#REF!*1</f>
        <v>#REF!</v>
      </c>
      <c r="AP246" s="609" t="e">
        <f>P246*X246*'Don gia XCSDL DC'!#REF!</f>
        <v>#REF!</v>
      </c>
      <c r="AQ246" s="609" t="e">
        <f>Q246*$AQ$8*'Don gia XCSDL DC'!#REF!</f>
        <v>#REF!</v>
      </c>
      <c r="AR246" s="609" t="e">
        <f>M246*$AR$8*'Don gia XCSDL DC'!#REF!</f>
        <v>#REF!</v>
      </c>
      <c r="AS246" s="609" t="e">
        <f>J246*'Don gia XCSDL DC'!#REF!</f>
        <v>#REF!</v>
      </c>
      <c r="AT246" s="609">
        <f>D246*'Don gia XCSDL DC'!$K$26</f>
        <v>0</v>
      </c>
      <c r="AU246" s="609">
        <f>J246*'Don gia XCSDL DC'!$K$34</f>
        <v>0</v>
      </c>
      <c r="AV246" s="609">
        <f>O246*'Don gia XCSDL DC'!$K$37</f>
        <v>0</v>
      </c>
      <c r="AW246" s="610" t="e">
        <f t="shared" si="125"/>
        <v>#REF!</v>
      </c>
      <c r="AX246" s="611" t="e">
        <f t="shared" si="126"/>
        <v>#REF!</v>
      </c>
      <c r="AY246" s="806" t="e">
        <f t="shared" si="116"/>
        <v>#REF!</v>
      </c>
      <c r="AZ246" s="612" t="e">
        <f>D246*'Don gia XCSDL DC'!#REF!</f>
        <v>#REF!</v>
      </c>
      <c r="BA246" s="613" t="e">
        <f>(Q246+M246)*'Don gia XCSDL DC'!#REF!</f>
        <v>#REF!</v>
      </c>
    </row>
    <row r="247" spans="1:53" ht="24.75" customHeight="1">
      <c r="A247" s="599"/>
      <c r="B247" s="445">
        <v>4</v>
      </c>
      <c r="C247" s="445" t="s">
        <v>505</v>
      </c>
      <c r="D247" s="600">
        <v>11</v>
      </c>
      <c r="E247" s="561">
        <v>11</v>
      </c>
      <c r="F247" s="561">
        <v>1</v>
      </c>
      <c r="G247" s="602">
        <v>1</v>
      </c>
      <c r="H247" s="561"/>
      <c r="I247" s="561"/>
      <c r="J247" s="658">
        <f>86425*1.2</f>
        <v>103710</v>
      </c>
      <c r="K247" s="658"/>
      <c r="L247" s="658">
        <f>30570/4*10+10000</f>
        <v>86425</v>
      </c>
      <c r="M247" s="595">
        <f>J247*5%</f>
        <v>5185.5</v>
      </c>
      <c r="N247" s="658">
        <f>J247-M247</f>
        <v>98524.5</v>
      </c>
      <c r="O247" s="658">
        <f>$N247*$W$243</f>
        <v>91036.638000000006</v>
      </c>
      <c r="P247" s="658">
        <f>O247-T247-U247</f>
        <v>29183.304666666678</v>
      </c>
      <c r="Q247" s="658">
        <f>N247-O247</f>
        <v>7487.8619999999937</v>
      </c>
      <c r="R247" s="658"/>
      <c r="S247" s="658">
        <v>63885.360000000008</v>
      </c>
      <c r="T247" s="621">
        <f>S247*0.05</f>
        <v>3194.2680000000005</v>
      </c>
      <c r="U247" s="665">
        <f>37112/0.6-T247</f>
        <v>58659.065333333332</v>
      </c>
      <c r="V247" s="658">
        <f>S247-T247-U247</f>
        <v>2032.0266666666721</v>
      </c>
      <c r="W247" s="658"/>
      <c r="X247" s="607">
        <f t="shared" si="109"/>
        <v>0.25165872459511707</v>
      </c>
      <c r="Y247" s="608">
        <f>S247*12</f>
        <v>766624.32000000007</v>
      </c>
      <c r="AA247" s="609">
        <f>D247*'Don gia XCSDL DC'!$K$8</f>
        <v>5073.8608224437694</v>
      </c>
      <c r="AB247" s="609">
        <f>D247*'Don gia XCSDL DC'!$K$9</f>
        <v>4841.0818474437701</v>
      </c>
      <c r="AC247" s="609" t="e">
        <f>D247*'Don gia XCSDL DC'!#REF!</f>
        <v>#REF!</v>
      </c>
      <c r="AD247" s="609">
        <f>D247*'Don gia XCSDL DC'!$K$10</f>
        <v>19493.713292198456</v>
      </c>
      <c r="AE247" s="609">
        <f>J247*'Don gia XCSDL DC'!$K$11</f>
        <v>0</v>
      </c>
      <c r="AF247" s="609" t="e">
        <f>S247*'Don gia XCSDL DC'!#REF!</f>
        <v>#REF!</v>
      </c>
      <c r="AG247" s="609" t="e">
        <f>D247*'Don gia XCSDL DC'!#REF!</f>
        <v>#REF!</v>
      </c>
      <c r="AH247" s="609" t="e">
        <f>J247*'Don gia XCSDL DC'!#REF!</f>
        <v>#REF!</v>
      </c>
      <c r="AI247" s="609" t="e">
        <f>D247*'Don gia XCSDL DC'!#REF!</f>
        <v>#REF!</v>
      </c>
      <c r="AJ247" s="609">
        <f>S247*2*'Don gia XCSDL DC'!$K$24</f>
        <v>1092514777.0530202</v>
      </c>
      <c r="AK247" s="609" t="e">
        <f>S247*3*'Don gia XCSDL DC'!#REF!</f>
        <v>#REF!</v>
      </c>
      <c r="AL247" s="609" t="e">
        <f>(S247*2+S247*3)*('Don gia XCSDL DC'!#REF!+'Don gia XCSDL DC'!#REF!+'Don gia XCSDL DC'!#REF!)</f>
        <v>#REF!</v>
      </c>
      <c r="AM247" s="609" t="e">
        <f>O247*'Don gia XCSDL DC'!#REF!*50%</f>
        <v>#REF!</v>
      </c>
      <c r="AN247" s="609" t="e">
        <f>T247*'Don gia XCSDL DC'!#REF!*$AN$8</f>
        <v>#REF!</v>
      </c>
      <c r="AO247" s="609" t="e">
        <f>U247*'Don gia XCSDL DC'!#REF!*1</f>
        <v>#REF!</v>
      </c>
      <c r="AP247" s="609" t="e">
        <f>P247*X247*'Don gia XCSDL DC'!#REF!</f>
        <v>#REF!</v>
      </c>
      <c r="AQ247" s="609" t="e">
        <f>Q247*$AQ$8*'Don gia XCSDL DC'!#REF!</f>
        <v>#REF!</v>
      </c>
      <c r="AR247" s="609" t="e">
        <f>M247*$AR$8*'Don gia XCSDL DC'!#REF!</f>
        <v>#REF!</v>
      </c>
      <c r="AS247" s="609" t="e">
        <f>J247*'Don gia XCSDL DC'!#REF!</f>
        <v>#REF!</v>
      </c>
      <c r="AT247" s="609">
        <f>D247*'Don gia XCSDL DC'!$K$26</f>
        <v>0</v>
      </c>
      <c r="AU247" s="609">
        <f>J247*'Don gia XCSDL DC'!$K$34</f>
        <v>0</v>
      </c>
      <c r="AV247" s="609">
        <f>O247*'Don gia XCSDL DC'!$K$37</f>
        <v>0</v>
      </c>
      <c r="AW247" s="610" t="e">
        <f t="shared" si="125"/>
        <v>#REF!</v>
      </c>
      <c r="AX247" s="611" t="e">
        <f t="shared" si="126"/>
        <v>#REF!</v>
      </c>
      <c r="AY247" s="806" t="e">
        <f t="shared" si="116"/>
        <v>#REF!</v>
      </c>
      <c r="AZ247" s="612" t="e">
        <f>D247*'Don gia XCSDL DC'!#REF!</f>
        <v>#REF!</v>
      </c>
      <c r="BA247" s="613" t="e">
        <f>(Q247+M247)*'Don gia XCSDL DC'!#REF!</f>
        <v>#REF!</v>
      </c>
    </row>
    <row r="248" spans="1:53" s="723" customFormat="1" ht="24.75" customHeight="1">
      <c r="A248" s="712"/>
      <c r="B248" s="713"/>
      <c r="C248" s="713" t="s">
        <v>506</v>
      </c>
      <c r="D248" s="714">
        <v>16</v>
      </c>
      <c r="E248" s="775">
        <v>16</v>
      </c>
      <c r="F248" s="775"/>
      <c r="G248" s="775">
        <v>1</v>
      </c>
      <c r="H248" s="775"/>
      <c r="I248" s="775"/>
      <c r="J248" s="778">
        <v>115817</v>
      </c>
      <c r="K248" s="716"/>
      <c r="L248" s="734">
        <v>115817</v>
      </c>
      <c r="M248" s="777"/>
      <c r="N248" s="778"/>
      <c r="O248" s="778"/>
      <c r="P248" s="778"/>
      <c r="Q248" s="778"/>
      <c r="R248" s="778"/>
      <c r="S248" s="778"/>
      <c r="T248" s="778"/>
      <c r="U248" s="730"/>
      <c r="V248" s="778"/>
      <c r="W248" s="778"/>
      <c r="X248" s="721"/>
      <c r="Y248" s="722"/>
      <c r="AA248" s="609"/>
      <c r="AB248" s="609"/>
      <c r="AC248" s="609"/>
      <c r="AD248" s="724"/>
      <c r="AE248" s="724"/>
      <c r="AF248" s="724"/>
      <c r="AG248" s="724"/>
      <c r="AH248" s="724"/>
      <c r="AI248" s="724"/>
      <c r="AJ248" s="724"/>
      <c r="AK248" s="724"/>
      <c r="AL248" s="724"/>
      <c r="AM248" s="724"/>
      <c r="AN248" s="724"/>
      <c r="AO248" s="724"/>
      <c r="AP248" s="724"/>
      <c r="AQ248" s="724"/>
      <c r="AR248" s="724"/>
      <c r="AS248" s="724"/>
      <c r="AT248" s="724"/>
      <c r="AU248" s="724"/>
      <c r="AV248" s="609"/>
      <c r="AW248" s="610"/>
      <c r="AX248" s="611"/>
      <c r="AY248" s="807"/>
      <c r="AZ248" s="612"/>
      <c r="BA248" s="613"/>
    </row>
    <row r="249" spans="1:53" s="723" customFormat="1" ht="24.75" customHeight="1">
      <c r="A249" s="712"/>
      <c r="B249" s="713"/>
      <c r="C249" s="713" t="s">
        <v>507</v>
      </c>
      <c r="D249" s="714">
        <v>15</v>
      </c>
      <c r="E249" s="775">
        <v>15</v>
      </c>
      <c r="F249" s="775"/>
      <c r="G249" s="775">
        <v>1</v>
      </c>
      <c r="H249" s="775"/>
      <c r="I249" s="775"/>
      <c r="J249" s="778">
        <v>225720</v>
      </c>
      <c r="K249" s="716"/>
      <c r="L249" s="734">
        <v>225720</v>
      </c>
      <c r="M249" s="777"/>
      <c r="N249" s="778"/>
      <c r="O249" s="778"/>
      <c r="P249" s="778"/>
      <c r="Q249" s="778"/>
      <c r="R249" s="778"/>
      <c r="S249" s="778"/>
      <c r="T249" s="778"/>
      <c r="U249" s="730"/>
      <c r="V249" s="778"/>
      <c r="W249" s="778"/>
      <c r="X249" s="721"/>
      <c r="Y249" s="722"/>
      <c r="AA249" s="609"/>
      <c r="AB249" s="609"/>
      <c r="AC249" s="609"/>
      <c r="AD249" s="724"/>
      <c r="AE249" s="724"/>
      <c r="AF249" s="724"/>
      <c r="AG249" s="724"/>
      <c r="AH249" s="724"/>
      <c r="AI249" s="724"/>
      <c r="AJ249" s="724"/>
      <c r="AK249" s="724"/>
      <c r="AL249" s="724"/>
      <c r="AM249" s="724"/>
      <c r="AN249" s="724"/>
      <c r="AO249" s="724"/>
      <c r="AP249" s="724"/>
      <c r="AQ249" s="724"/>
      <c r="AR249" s="724"/>
      <c r="AS249" s="724"/>
      <c r="AT249" s="724"/>
      <c r="AU249" s="724"/>
      <c r="AV249" s="609"/>
      <c r="AW249" s="610"/>
      <c r="AX249" s="611"/>
      <c r="AY249" s="807"/>
      <c r="AZ249" s="612"/>
      <c r="BA249" s="613"/>
    </row>
    <row r="250" spans="1:53" s="598" customFormat="1" ht="24.75" customHeight="1">
      <c r="A250" s="689" t="s">
        <v>508</v>
      </c>
      <c r="B250" s="690"/>
      <c r="C250" s="690"/>
      <c r="D250" s="594"/>
      <c r="E250" s="592">
        <f>E251+E261+E277+E289+E298+E308+E318+E330+E337</f>
        <v>553</v>
      </c>
      <c r="F250" s="592">
        <f>F251+F261+F277+F289+F298+F308+F318+F330+F337</f>
        <v>45</v>
      </c>
      <c r="G250" s="593">
        <f>G251+G261+G277+G289+G298+G308+G318+G330+G337</f>
        <v>84</v>
      </c>
      <c r="H250" s="592">
        <f>H251+H261+H277+H289+H298+H308+H318+H330+H337</f>
        <v>96</v>
      </c>
      <c r="I250" s="592"/>
      <c r="J250" s="592">
        <f>J251+J261+J277+J289+J298+J308+J318+J330+J337</f>
        <v>4700116.4324666662</v>
      </c>
      <c r="K250" s="592"/>
      <c r="L250" s="592"/>
      <c r="M250" s="595">
        <f>J250*15%</f>
        <v>705017.46486999991</v>
      </c>
      <c r="N250" s="658">
        <f>J250-M250</f>
        <v>3995098.9675966664</v>
      </c>
      <c r="O250" s="658"/>
      <c r="P250" s="658">
        <f>O250-T250-U250</f>
        <v>0</v>
      </c>
      <c r="Q250" s="658">
        <f>N250-O250</f>
        <v>3995098.9675966664</v>
      </c>
      <c r="R250" s="658"/>
      <c r="S250" s="592"/>
      <c r="T250" s="592"/>
      <c r="U250" s="621">
        <f>$J250*$W$245</f>
        <v>0</v>
      </c>
      <c r="V250" s="658">
        <f>S250-T250-U250</f>
        <v>0</v>
      </c>
      <c r="W250" s="592"/>
      <c r="X250" s="607"/>
      <c r="Y250" s="608"/>
      <c r="AA250" s="609"/>
      <c r="AB250" s="609"/>
      <c r="AC250" s="609"/>
      <c r="AD250" s="609"/>
      <c r="AE250" s="609"/>
      <c r="AF250" s="609"/>
      <c r="AG250" s="609"/>
      <c r="AH250" s="609"/>
      <c r="AI250" s="609"/>
      <c r="AJ250" s="609"/>
      <c r="AK250" s="609"/>
      <c r="AL250" s="609"/>
      <c r="AM250" s="609"/>
      <c r="AN250" s="609"/>
      <c r="AO250" s="609"/>
      <c r="AP250" s="609"/>
      <c r="AQ250" s="609"/>
      <c r="AR250" s="609"/>
      <c r="AS250" s="609"/>
      <c r="AT250" s="609"/>
      <c r="AU250" s="609"/>
      <c r="AV250" s="609"/>
      <c r="AW250" s="610"/>
      <c r="AX250" s="611"/>
      <c r="AY250" s="806"/>
      <c r="AZ250" s="612"/>
      <c r="BA250" s="613"/>
    </row>
    <row r="251" spans="1:53" s="598" customFormat="1" ht="24.75" customHeight="1">
      <c r="A251" s="589">
        <v>1</v>
      </c>
      <c r="B251" s="1945" t="s">
        <v>509</v>
      </c>
      <c r="C251" s="1945"/>
      <c r="D251" s="594"/>
      <c r="E251" s="595">
        <f>SUM(E252:E259)</f>
        <v>83</v>
      </c>
      <c r="F251" s="595">
        <f>SUM(F252:F259)</f>
        <v>8</v>
      </c>
      <c r="G251" s="596">
        <f>SUM(G252:G260)</f>
        <v>9</v>
      </c>
      <c r="H251" s="595">
        <v>9</v>
      </c>
      <c r="I251" s="595"/>
      <c r="J251" s="595">
        <f t="shared" ref="J251:Q251" si="137">SUM(J252:J259)</f>
        <v>986200</v>
      </c>
      <c r="K251" s="595">
        <f t="shared" si="137"/>
        <v>928204</v>
      </c>
      <c r="L251" s="595">
        <f t="shared" si="137"/>
        <v>1274621</v>
      </c>
      <c r="M251" s="595">
        <f t="shared" si="137"/>
        <v>198359.8</v>
      </c>
      <c r="N251" s="595">
        <f t="shared" si="137"/>
        <v>787840.2</v>
      </c>
      <c r="O251" s="595">
        <f t="shared" si="137"/>
        <v>757114.43219999992</v>
      </c>
      <c r="P251" s="595">
        <f t="shared" si="137"/>
        <v>596852.90362857142</v>
      </c>
      <c r="Q251" s="595">
        <f t="shared" si="137"/>
        <v>30725.767800000038</v>
      </c>
      <c r="R251" s="595"/>
      <c r="S251" s="595">
        <f>SUM(S252:S259)</f>
        <v>398427</v>
      </c>
      <c r="T251" s="595">
        <f>SUM(T252:T259)</f>
        <v>28653.599999999999</v>
      </c>
      <c r="U251" s="595">
        <f>SUM(U252:U259)</f>
        <v>131607.92857142858</v>
      </c>
      <c r="V251" s="595">
        <f>SUM(V252:V259)</f>
        <v>238165.47142857144</v>
      </c>
      <c r="W251" s="597">
        <v>0.96099999999999997</v>
      </c>
      <c r="X251" s="607">
        <f t="shared" si="109"/>
        <v>0.51661547664292595</v>
      </c>
      <c r="Y251" s="595">
        <f>SUM(Y252:Y259)</f>
        <v>4781124</v>
      </c>
      <c r="AA251" s="609"/>
      <c r="AB251" s="609"/>
      <c r="AC251" s="609"/>
      <c r="AD251" s="609"/>
      <c r="AE251" s="609"/>
      <c r="AF251" s="609"/>
      <c r="AG251" s="609"/>
      <c r="AH251" s="609"/>
      <c r="AI251" s="609"/>
      <c r="AJ251" s="609"/>
      <c r="AK251" s="609"/>
      <c r="AL251" s="609"/>
      <c r="AM251" s="609"/>
      <c r="AN251" s="609"/>
      <c r="AO251" s="609"/>
      <c r="AP251" s="609"/>
      <c r="AQ251" s="609"/>
      <c r="AR251" s="609"/>
      <c r="AS251" s="609"/>
      <c r="AT251" s="609"/>
      <c r="AU251" s="609"/>
      <c r="AV251" s="609"/>
      <c r="AW251" s="610"/>
      <c r="AX251" s="611"/>
      <c r="AY251" s="806"/>
      <c r="AZ251" s="612"/>
      <c r="BA251" s="613"/>
    </row>
    <row r="252" spans="1:53" ht="24.75" customHeight="1">
      <c r="A252" s="599"/>
      <c r="B252" s="445">
        <v>1</v>
      </c>
      <c r="C252" s="445" t="s">
        <v>510</v>
      </c>
      <c r="D252" s="600">
        <v>10</v>
      </c>
      <c r="E252" s="561">
        <v>10</v>
      </c>
      <c r="F252" s="561">
        <v>1</v>
      </c>
      <c r="G252" s="602">
        <v>1</v>
      </c>
      <c r="H252" s="561"/>
      <c r="I252" s="561"/>
      <c r="J252" s="691">
        <v>75591</v>
      </c>
      <c r="K252" s="658">
        <v>75591</v>
      </c>
      <c r="L252" s="658">
        <v>75591</v>
      </c>
      <c r="M252" s="595">
        <f>J252*15%</f>
        <v>11338.65</v>
      </c>
      <c r="N252" s="658">
        <f t="shared" ref="N252:N259" si="138">J252-M252</f>
        <v>64252.35</v>
      </c>
      <c r="O252" s="658">
        <f t="shared" ref="O252:O259" si="139">$N252*$W$251</f>
        <v>61746.508349999996</v>
      </c>
      <c r="P252" s="658">
        <f t="shared" ref="P252:P259" si="140">O252-T252-U252</f>
        <v>36626.308349999992</v>
      </c>
      <c r="Q252" s="658">
        <f t="shared" ref="Q252:Q259" si="141">N252-O252</f>
        <v>2505.8416500000021</v>
      </c>
      <c r="R252" s="658"/>
      <c r="S252" s="692">
        <v>58215</v>
      </c>
      <c r="T252" s="621">
        <f>S252*0.2</f>
        <v>11643</v>
      </c>
      <c r="U252" s="665">
        <f>125601/5-T252</f>
        <v>13477.2</v>
      </c>
      <c r="V252" s="658">
        <f t="shared" ref="V252:V259" si="142">S252-T252-U252</f>
        <v>33094.800000000003</v>
      </c>
      <c r="W252" s="658"/>
      <c r="X252" s="607">
        <f t="shared" si="109"/>
        <v>0.92244478922128581</v>
      </c>
      <c r="Y252" s="608">
        <f t="shared" ref="Y252:Y259" si="143">S252*12</f>
        <v>698580</v>
      </c>
      <c r="AA252" s="609">
        <f>D252*'Don gia XCSDL DC'!$K$8</f>
        <v>4612.6007476761533</v>
      </c>
      <c r="AB252" s="609">
        <f>D252*'Don gia XCSDL DC'!$K$9</f>
        <v>4400.983497676154</v>
      </c>
      <c r="AC252" s="609" t="e">
        <f>D252*'Don gia XCSDL DC'!#REF!</f>
        <v>#REF!</v>
      </c>
      <c r="AD252" s="609">
        <f>D252*'Don gia XCSDL DC'!$K$10</f>
        <v>17721.557538362234</v>
      </c>
      <c r="AE252" s="609">
        <f>J252*'Don gia XCSDL DC'!$K$11</f>
        <v>0</v>
      </c>
      <c r="AF252" s="609" t="e">
        <f>S252*'Don gia XCSDL DC'!#REF!</f>
        <v>#REF!</v>
      </c>
      <c r="AG252" s="609" t="e">
        <f>D252*'Don gia XCSDL DC'!#REF!</f>
        <v>#REF!</v>
      </c>
      <c r="AH252" s="609" t="e">
        <f>J252*'Don gia XCSDL DC'!#REF!</f>
        <v>#REF!</v>
      </c>
      <c r="AI252" s="609" t="e">
        <f>D252*'Don gia XCSDL DC'!#REF!</f>
        <v>#REF!</v>
      </c>
      <c r="AJ252" s="609">
        <f>S252*2*'Don gia XCSDL DC'!$K$24</f>
        <v>995544953.43129575</v>
      </c>
      <c r="AK252" s="609" t="e">
        <f>S252*3*'Don gia XCSDL DC'!#REF!</f>
        <v>#REF!</v>
      </c>
      <c r="AL252" s="609" t="e">
        <f>(S252*2+S252*3)*('Don gia XCSDL DC'!#REF!+'Don gia XCSDL DC'!#REF!+'Don gia XCSDL DC'!#REF!)</f>
        <v>#REF!</v>
      </c>
      <c r="AM252" s="609" t="e">
        <f>O252*'Don gia XCSDL DC'!#REF!*50%</f>
        <v>#REF!</v>
      </c>
      <c r="AN252" s="609" t="e">
        <f>T252*'Don gia XCSDL DC'!#REF!*$AN$8</f>
        <v>#REF!</v>
      </c>
      <c r="AO252" s="609" t="e">
        <f>U252*'Don gia XCSDL DC'!#REF!*1</f>
        <v>#REF!</v>
      </c>
      <c r="AP252" s="609" t="e">
        <f>P252*X252*'Don gia XCSDL DC'!#REF!</f>
        <v>#REF!</v>
      </c>
      <c r="AQ252" s="609" t="e">
        <f>Q252*$AQ$8*'Don gia XCSDL DC'!#REF!</f>
        <v>#REF!</v>
      </c>
      <c r="AR252" s="609" t="e">
        <f>M252*$AR$8*'Don gia XCSDL DC'!#REF!</f>
        <v>#REF!</v>
      </c>
      <c r="AS252" s="609" t="e">
        <f>J252*'Don gia XCSDL DC'!#REF!</f>
        <v>#REF!</v>
      </c>
      <c r="AT252" s="609">
        <f>D252*'Don gia XCSDL DC'!$K$26</f>
        <v>0</v>
      </c>
      <c r="AU252" s="609">
        <f>J252*'Don gia XCSDL DC'!$K$34</f>
        <v>0</v>
      </c>
      <c r="AV252" s="609">
        <f>O252*'Don gia XCSDL DC'!$K$37</f>
        <v>0</v>
      </c>
      <c r="AW252" s="610" t="e">
        <f t="shared" si="125"/>
        <v>#REF!</v>
      </c>
      <c r="AX252" s="611" t="e">
        <f t="shared" si="126"/>
        <v>#REF!</v>
      </c>
      <c r="AY252" s="806" t="e">
        <f t="shared" si="116"/>
        <v>#REF!</v>
      </c>
      <c r="AZ252" s="612" t="e">
        <f>D252*'Don gia XCSDL DC'!#REF!</f>
        <v>#REF!</v>
      </c>
      <c r="BA252" s="613" t="e">
        <f>(Q252+M252)*'Don gia XCSDL DC'!#REF!</f>
        <v>#REF!</v>
      </c>
    </row>
    <row r="253" spans="1:53" ht="24.75" customHeight="1">
      <c r="A253" s="599"/>
      <c r="B253" s="445">
        <v>2</v>
      </c>
      <c r="C253" s="445" t="s">
        <v>511</v>
      </c>
      <c r="D253" s="600">
        <v>8</v>
      </c>
      <c r="E253" s="561">
        <v>8</v>
      </c>
      <c r="F253" s="561">
        <v>1</v>
      </c>
      <c r="G253" s="602">
        <v>1</v>
      </c>
      <c r="H253" s="561"/>
      <c r="I253" s="561"/>
      <c r="J253" s="691">
        <v>62201</v>
      </c>
      <c r="K253" s="658">
        <v>66427</v>
      </c>
      <c r="L253" s="658">
        <v>66427</v>
      </c>
      <c r="M253" s="595">
        <f>J253*15%</f>
        <v>9330.15</v>
      </c>
      <c r="N253" s="658">
        <f t="shared" si="138"/>
        <v>52870.85</v>
      </c>
      <c r="O253" s="658">
        <f t="shared" si="139"/>
        <v>50808.886849999995</v>
      </c>
      <c r="P253" s="658">
        <f t="shared" si="140"/>
        <v>23006.686849999991</v>
      </c>
      <c r="Q253" s="658">
        <f t="shared" si="141"/>
        <v>2061.9631500000032</v>
      </c>
      <c r="R253" s="658"/>
      <c r="S253" s="692">
        <v>38236</v>
      </c>
      <c r="T253" s="621">
        <f t="shared" ref="T253:T259" si="144">S253*0.05</f>
        <v>1911.8000000000002</v>
      </c>
      <c r="U253" s="665">
        <f>139011/5-T253</f>
        <v>25890.400000000001</v>
      </c>
      <c r="V253" s="658">
        <f t="shared" si="142"/>
        <v>10433.799999999996</v>
      </c>
      <c r="W253" s="658"/>
      <c r="X253" s="607">
        <f t="shared" si="109"/>
        <v>0.56043326571227781</v>
      </c>
      <c r="Y253" s="608">
        <f t="shared" si="143"/>
        <v>458832</v>
      </c>
      <c r="AA253" s="609">
        <f>D253*'Don gia XCSDL DC'!$K$8</f>
        <v>3690.080598140923</v>
      </c>
      <c r="AB253" s="609">
        <f>D253*'Don gia XCSDL DC'!$K$9</f>
        <v>3520.7867981409236</v>
      </c>
      <c r="AC253" s="609" t="e">
        <f>D253*'Don gia XCSDL DC'!#REF!</f>
        <v>#REF!</v>
      </c>
      <c r="AD253" s="609">
        <f>D253*'Don gia XCSDL DC'!$K$10</f>
        <v>14177.246030689786</v>
      </c>
      <c r="AE253" s="609">
        <f>J253*'Don gia XCSDL DC'!$K$11</f>
        <v>0</v>
      </c>
      <c r="AF253" s="609" t="e">
        <f>S253*'Don gia XCSDL DC'!#REF!</f>
        <v>#REF!</v>
      </c>
      <c r="AG253" s="609" t="e">
        <f>D253*'Don gia XCSDL DC'!#REF!</f>
        <v>#REF!</v>
      </c>
      <c r="AH253" s="609" t="e">
        <f>J253*'Don gia XCSDL DC'!#REF!</f>
        <v>#REF!</v>
      </c>
      <c r="AI253" s="609" t="e">
        <f>D253*'Don gia XCSDL DC'!#REF!</f>
        <v>#REF!</v>
      </c>
      <c r="AJ253" s="609">
        <f>S253*2*'Don gia XCSDL DC'!$K$24</f>
        <v>653880560.66991365</v>
      </c>
      <c r="AK253" s="609" t="e">
        <f>S253*3*'Don gia XCSDL DC'!#REF!</f>
        <v>#REF!</v>
      </c>
      <c r="AL253" s="609" t="e">
        <f>(S253*2+S253*3)*('Don gia XCSDL DC'!#REF!+'Don gia XCSDL DC'!#REF!+'Don gia XCSDL DC'!#REF!)</f>
        <v>#REF!</v>
      </c>
      <c r="AM253" s="609" t="e">
        <f>O253*'Don gia XCSDL DC'!#REF!*50%</f>
        <v>#REF!</v>
      </c>
      <c r="AN253" s="609" t="e">
        <f>T253*'Don gia XCSDL DC'!#REF!*$AN$8</f>
        <v>#REF!</v>
      </c>
      <c r="AO253" s="609" t="e">
        <f>U253*'Don gia XCSDL DC'!#REF!*1</f>
        <v>#REF!</v>
      </c>
      <c r="AP253" s="609" t="e">
        <f>P253*X253*'Don gia XCSDL DC'!#REF!</f>
        <v>#REF!</v>
      </c>
      <c r="AQ253" s="609" t="e">
        <f>Q253*$AQ$8*'Don gia XCSDL DC'!#REF!</f>
        <v>#REF!</v>
      </c>
      <c r="AR253" s="609" t="e">
        <f>M253*$AR$8*'Don gia XCSDL DC'!#REF!</f>
        <v>#REF!</v>
      </c>
      <c r="AS253" s="609" t="e">
        <f>J253*'Don gia XCSDL DC'!#REF!</f>
        <v>#REF!</v>
      </c>
      <c r="AT253" s="609">
        <f>D253*'Don gia XCSDL DC'!$K$26</f>
        <v>0</v>
      </c>
      <c r="AU253" s="609">
        <f>J253*'Don gia XCSDL DC'!$K$34</f>
        <v>0</v>
      </c>
      <c r="AV253" s="609">
        <f>O253*'Don gia XCSDL DC'!$K$37</f>
        <v>0</v>
      </c>
      <c r="AW253" s="610" t="e">
        <f t="shared" si="125"/>
        <v>#REF!</v>
      </c>
      <c r="AX253" s="611" t="e">
        <f t="shared" si="126"/>
        <v>#REF!</v>
      </c>
      <c r="AY253" s="806" t="e">
        <f t="shared" si="116"/>
        <v>#REF!</v>
      </c>
      <c r="AZ253" s="612" t="e">
        <f>D253*'Don gia XCSDL DC'!#REF!</f>
        <v>#REF!</v>
      </c>
      <c r="BA253" s="613" t="e">
        <f>(Q253+M253)*'Don gia XCSDL DC'!#REF!</f>
        <v>#REF!</v>
      </c>
    </row>
    <row r="254" spans="1:53" ht="24.75" customHeight="1">
      <c r="A254" s="599"/>
      <c r="B254" s="445">
        <v>3</v>
      </c>
      <c r="C254" s="445" t="s">
        <v>512</v>
      </c>
      <c r="D254" s="600">
        <v>11</v>
      </c>
      <c r="E254" s="561">
        <v>11</v>
      </c>
      <c r="F254" s="561">
        <v>1</v>
      </c>
      <c r="G254" s="602">
        <v>1</v>
      </c>
      <c r="H254" s="561"/>
      <c r="I254" s="561"/>
      <c r="J254" s="691">
        <v>247405</v>
      </c>
      <c r="K254" s="658">
        <v>148443</v>
      </c>
      <c r="L254" s="658">
        <v>247405</v>
      </c>
      <c r="M254" s="595">
        <f>J254*25%</f>
        <v>61851.25</v>
      </c>
      <c r="N254" s="658">
        <f t="shared" si="138"/>
        <v>185553.75</v>
      </c>
      <c r="O254" s="658">
        <f t="shared" si="139"/>
        <v>178317.15375</v>
      </c>
      <c r="P254" s="658">
        <f t="shared" si="140"/>
        <v>147849.35375000001</v>
      </c>
      <c r="Q254" s="658">
        <f t="shared" si="141"/>
        <v>7236.5962500000023</v>
      </c>
      <c r="R254" s="658"/>
      <c r="S254" s="692">
        <v>53305</v>
      </c>
      <c r="T254" s="621">
        <f t="shared" si="144"/>
        <v>2665.25</v>
      </c>
      <c r="U254" s="665">
        <f>152339/5-T254</f>
        <v>27802.55</v>
      </c>
      <c r="V254" s="658">
        <f t="shared" si="142"/>
        <v>22837.200000000001</v>
      </c>
      <c r="W254" s="658"/>
      <c r="X254" s="607">
        <f t="shared" si="109"/>
        <v>0.31989385443451174</v>
      </c>
      <c r="Y254" s="608">
        <f t="shared" si="143"/>
        <v>639660</v>
      </c>
      <c r="AA254" s="609">
        <f>D254*'Don gia XCSDL DC'!$K$8</f>
        <v>5073.8608224437694</v>
      </c>
      <c r="AB254" s="609">
        <f>D254*'Don gia XCSDL DC'!$K$9</f>
        <v>4841.0818474437701</v>
      </c>
      <c r="AC254" s="609" t="e">
        <f>D254*'Don gia XCSDL DC'!#REF!</f>
        <v>#REF!</v>
      </c>
      <c r="AD254" s="609">
        <f>D254*'Don gia XCSDL DC'!$K$10</f>
        <v>19493.713292198456</v>
      </c>
      <c r="AE254" s="609">
        <f>J254*'Don gia XCSDL DC'!$K$11</f>
        <v>0</v>
      </c>
      <c r="AF254" s="609" t="e">
        <f>S254*'Don gia XCSDL DC'!#REF!</f>
        <v>#REF!</v>
      </c>
      <c r="AG254" s="609" t="e">
        <f>D254*'Don gia XCSDL DC'!#REF!</f>
        <v>#REF!</v>
      </c>
      <c r="AH254" s="609" t="e">
        <f>J254*'Don gia XCSDL DC'!#REF!</f>
        <v>#REF!</v>
      </c>
      <c r="AI254" s="609" t="e">
        <f>D254*'Don gia XCSDL DC'!#REF!</f>
        <v>#REF!</v>
      </c>
      <c r="AJ254" s="609">
        <f>S254*2*'Don gia XCSDL DC'!$K$24</f>
        <v>911578179.89616454</v>
      </c>
      <c r="AK254" s="609" t="e">
        <f>S254*3*'Don gia XCSDL DC'!#REF!</f>
        <v>#REF!</v>
      </c>
      <c r="AL254" s="609" t="e">
        <f>(S254*2+S254*3)*('Don gia XCSDL DC'!#REF!+'Don gia XCSDL DC'!#REF!+'Don gia XCSDL DC'!#REF!)</f>
        <v>#REF!</v>
      </c>
      <c r="AM254" s="609" t="e">
        <f>O254*'Don gia XCSDL DC'!#REF!*50%</f>
        <v>#REF!</v>
      </c>
      <c r="AN254" s="609" t="e">
        <f>T254*'Don gia XCSDL DC'!#REF!*$AN$8</f>
        <v>#REF!</v>
      </c>
      <c r="AO254" s="609" t="e">
        <f>U254*'Don gia XCSDL DC'!#REF!*1</f>
        <v>#REF!</v>
      </c>
      <c r="AP254" s="609" t="e">
        <f>P254*X254*'Don gia XCSDL DC'!#REF!</f>
        <v>#REF!</v>
      </c>
      <c r="AQ254" s="609" t="e">
        <f>Q254*$AQ$8*'Don gia XCSDL DC'!#REF!</f>
        <v>#REF!</v>
      </c>
      <c r="AR254" s="609" t="e">
        <f>M254*$AR$8*'Don gia XCSDL DC'!#REF!</f>
        <v>#REF!</v>
      </c>
      <c r="AS254" s="609" t="e">
        <f>J254*'Don gia XCSDL DC'!#REF!</f>
        <v>#REF!</v>
      </c>
      <c r="AT254" s="609">
        <f>D254*'Don gia XCSDL DC'!$K$26</f>
        <v>0</v>
      </c>
      <c r="AU254" s="609">
        <f>J254*'Don gia XCSDL DC'!$K$34</f>
        <v>0</v>
      </c>
      <c r="AV254" s="609">
        <f>O254*'Don gia XCSDL DC'!$K$37</f>
        <v>0</v>
      </c>
      <c r="AW254" s="610" t="e">
        <f t="shared" si="125"/>
        <v>#REF!</v>
      </c>
      <c r="AX254" s="611" t="e">
        <f t="shared" si="126"/>
        <v>#REF!</v>
      </c>
      <c r="AY254" s="806" t="e">
        <f t="shared" si="116"/>
        <v>#REF!</v>
      </c>
      <c r="AZ254" s="612" t="e">
        <f>D254*'Don gia XCSDL DC'!#REF!</f>
        <v>#REF!</v>
      </c>
      <c r="BA254" s="613" t="e">
        <f>(Q254+M254)*'Don gia XCSDL DC'!#REF!</f>
        <v>#REF!</v>
      </c>
    </row>
    <row r="255" spans="1:53" ht="24.75" customHeight="1">
      <c r="A255" s="599"/>
      <c r="B255" s="445">
        <v>4</v>
      </c>
      <c r="C255" s="445" t="s">
        <v>513</v>
      </c>
      <c r="D255" s="600">
        <v>9</v>
      </c>
      <c r="E255" s="561">
        <v>9</v>
      </c>
      <c r="F255" s="561">
        <v>1</v>
      </c>
      <c r="G255" s="602">
        <v>1</v>
      </c>
      <c r="H255" s="561"/>
      <c r="I255" s="561"/>
      <c r="J255" s="691">
        <v>121298</v>
      </c>
      <c r="K255" s="658">
        <v>53550</v>
      </c>
      <c r="L255" s="658">
        <v>53550</v>
      </c>
      <c r="M255" s="595">
        <f>J255*15%</f>
        <v>18194.7</v>
      </c>
      <c r="N255" s="658">
        <f t="shared" si="138"/>
        <v>103103.3</v>
      </c>
      <c r="O255" s="658">
        <f t="shared" si="139"/>
        <v>99082.271299999993</v>
      </c>
      <c r="P255" s="658">
        <f t="shared" si="140"/>
        <v>79508.128442857138</v>
      </c>
      <c r="Q255" s="658">
        <f t="shared" si="141"/>
        <v>4021.0287000000098</v>
      </c>
      <c r="R255" s="658"/>
      <c r="S255" s="693">
        <v>54643</v>
      </c>
      <c r="T255" s="621">
        <f t="shared" si="144"/>
        <v>2732.15</v>
      </c>
      <c r="U255" s="665">
        <f>137019/7-T255</f>
        <v>16841.992857142857</v>
      </c>
      <c r="V255" s="658">
        <f t="shared" si="142"/>
        <v>35068.857142857145</v>
      </c>
      <c r="W255" s="658"/>
      <c r="X255" s="607">
        <f t="shared" si="109"/>
        <v>0.5504279629882961</v>
      </c>
      <c r="Y255" s="608">
        <f t="shared" si="143"/>
        <v>655716</v>
      </c>
      <c r="AA255" s="609">
        <f>D255*'Don gia XCSDL DC'!$K$8</f>
        <v>4151.3406729085382</v>
      </c>
      <c r="AB255" s="609">
        <f>D255*'Don gia XCSDL DC'!$K$9</f>
        <v>3960.8851479085388</v>
      </c>
      <c r="AC255" s="609" t="e">
        <f>D255*'Don gia XCSDL DC'!#REF!</f>
        <v>#REF!</v>
      </c>
      <c r="AD255" s="609">
        <f>D255*'Don gia XCSDL DC'!$K$10</f>
        <v>15949.40178452601</v>
      </c>
      <c r="AE255" s="609">
        <f>J255*'Don gia XCSDL DC'!$K$11</f>
        <v>0</v>
      </c>
      <c r="AF255" s="609" t="e">
        <f>S255*'Don gia XCSDL DC'!#REF!</f>
        <v>#REF!</v>
      </c>
      <c r="AG255" s="609" t="e">
        <f>D255*'Don gia XCSDL DC'!#REF!</f>
        <v>#REF!</v>
      </c>
      <c r="AH255" s="609" t="e">
        <f>J255*'Don gia XCSDL DC'!#REF!</f>
        <v>#REF!</v>
      </c>
      <c r="AI255" s="609" t="e">
        <f>D255*'Don gia XCSDL DC'!#REF!</f>
        <v>#REF!</v>
      </c>
      <c r="AJ255" s="609">
        <f>S255*2*'Don gia XCSDL DC'!$K$24</f>
        <v>934459553.21388459</v>
      </c>
      <c r="AK255" s="609" t="e">
        <f>S255*3*'Don gia XCSDL DC'!#REF!</f>
        <v>#REF!</v>
      </c>
      <c r="AL255" s="609" t="e">
        <f>(S255*2+S255*3)*('Don gia XCSDL DC'!#REF!+'Don gia XCSDL DC'!#REF!+'Don gia XCSDL DC'!#REF!)</f>
        <v>#REF!</v>
      </c>
      <c r="AM255" s="609" t="e">
        <f>O255*'Don gia XCSDL DC'!#REF!*50%</f>
        <v>#REF!</v>
      </c>
      <c r="AN255" s="609" t="e">
        <f>T255*'Don gia XCSDL DC'!#REF!*$AN$8</f>
        <v>#REF!</v>
      </c>
      <c r="AO255" s="609" t="e">
        <f>U255*'Don gia XCSDL DC'!#REF!*1</f>
        <v>#REF!</v>
      </c>
      <c r="AP255" s="609" t="e">
        <f>P255*X255*'Don gia XCSDL DC'!#REF!</f>
        <v>#REF!</v>
      </c>
      <c r="AQ255" s="609" t="e">
        <f>Q255*$AQ$8*'Don gia XCSDL DC'!#REF!</f>
        <v>#REF!</v>
      </c>
      <c r="AR255" s="609" t="e">
        <f>M255*$AR$8*'Don gia XCSDL DC'!#REF!</f>
        <v>#REF!</v>
      </c>
      <c r="AS255" s="609" t="e">
        <f>J255*'Don gia XCSDL DC'!#REF!</f>
        <v>#REF!</v>
      </c>
      <c r="AT255" s="609">
        <f>D255*'Don gia XCSDL DC'!$K$26</f>
        <v>0</v>
      </c>
      <c r="AU255" s="609">
        <f>J255*'Don gia XCSDL DC'!$K$34</f>
        <v>0</v>
      </c>
      <c r="AV255" s="609">
        <f>O255*'Don gia XCSDL DC'!$K$37</f>
        <v>0</v>
      </c>
      <c r="AW255" s="610" t="e">
        <f t="shared" si="125"/>
        <v>#REF!</v>
      </c>
      <c r="AX255" s="611" t="e">
        <f t="shared" si="126"/>
        <v>#REF!</v>
      </c>
      <c r="AY255" s="806" t="e">
        <f t="shared" si="116"/>
        <v>#REF!</v>
      </c>
      <c r="AZ255" s="612" t="e">
        <f>D255*'Don gia XCSDL DC'!#REF!</f>
        <v>#REF!</v>
      </c>
      <c r="BA255" s="613" t="e">
        <f>(Q255+M255)*'Don gia XCSDL DC'!#REF!</f>
        <v>#REF!</v>
      </c>
    </row>
    <row r="256" spans="1:53" ht="24.75" customHeight="1">
      <c r="A256" s="599"/>
      <c r="B256" s="445">
        <v>5</v>
      </c>
      <c r="C256" s="445" t="s">
        <v>514</v>
      </c>
      <c r="D256" s="600">
        <v>11</v>
      </c>
      <c r="E256" s="561">
        <v>11</v>
      </c>
      <c r="F256" s="561">
        <v>1</v>
      </c>
      <c r="G256" s="602">
        <v>1</v>
      </c>
      <c r="H256" s="561"/>
      <c r="I256" s="561"/>
      <c r="J256" s="691">
        <v>83112</v>
      </c>
      <c r="K256" s="658">
        <v>41728</v>
      </c>
      <c r="L256" s="658">
        <v>41728</v>
      </c>
      <c r="M256" s="595">
        <f>J256*15%</f>
        <v>12466.8</v>
      </c>
      <c r="N256" s="658">
        <f t="shared" si="138"/>
        <v>70645.2</v>
      </c>
      <c r="O256" s="658">
        <f t="shared" si="139"/>
        <v>67890.037199999992</v>
      </c>
      <c r="P256" s="658">
        <f t="shared" si="140"/>
        <v>52989.751485714281</v>
      </c>
      <c r="Q256" s="658">
        <f t="shared" si="141"/>
        <v>2755.1628000000055</v>
      </c>
      <c r="R256" s="658"/>
      <c r="S256" s="692">
        <v>21465</v>
      </c>
      <c r="T256" s="621">
        <f t="shared" si="144"/>
        <v>1073.25</v>
      </c>
      <c r="U256" s="665">
        <f>104302/7-T256</f>
        <v>13827.035714285714</v>
      </c>
      <c r="V256" s="658">
        <f t="shared" si="142"/>
        <v>6564.7142857142862</v>
      </c>
      <c r="W256" s="658"/>
      <c r="X256" s="607">
        <f t="shared" si="109"/>
        <v>0.29530000234303361</v>
      </c>
      <c r="Y256" s="608">
        <f t="shared" si="143"/>
        <v>257580</v>
      </c>
      <c r="AA256" s="609">
        <f>D256*'Don gia XCSDL DC'!$K$8</f>
        <v>5073.8608224437694</v>
      </c>
      <c r="AB256" s="609">
        <f>D256*'Don gia XCSDL DC'!$K$9</f>
        <v>4841.0818474437701</v>
      </c>
      <c r="AC256" s="609" t="e">
        <f>D256*'Don gia XCSDL DC'!#REF!</f>
        <v>#REF!</v>
      </c>
      <c r="AD256" s="609">
        <f>D256*'Don gia XCSDL DC'!$K$10</f>
        <v>19493.713292198456</v>
      </c>
      <c r="AE256" s="609">
        <f>J256*'Don gia XCSDL DC'!$K$11</f>
        <v>0</v>
      </c>
      <c r="AF256" s="609" t="e">
        <f>S256*'Don gia XCSDL DC'!#REF!</f>
        <v>#REF!</v>
      </c>
      <c r="AG256" s="609" t="e">
        <f>D256*'Don gia XCSDL DC'!#REF!</f>
        <v>#REF!</v>
      </c>
      <c r="AH256" s="609" t="e">
        <f>J256*'Don gia XCSDL DC'!#REF!</f>
        <v>#REF!</v>
      </c>
      <c r="AI256" s="609" t="e">
        <f>D256*'Don gia XCSDL DC'!#REF!</f>
        <v>#REF!</v>
      </c>
      <c r="AJ256" s="609">
        <f>S256*2*'Don gia XCSDL DC'!$K$24</f>
        <v>367076740.10826701</v>
      </c>
      <c r="AK256" s="609" t="e">
        <f>S256*3*'Don gia XCSDL DC'!#REF!</f>
        <v>#REF!</v>
      </c>
      <c r="AL256" s="609" t="e">
        <f>(S256*2+S256*3)*('Don gia XCSDL DC'!#REF!+'Don gia XCSDL DC'!#REF!+'Don gia XCSDL DC'!#REF!)</f>
        <v>#REF!</v>
      </c>
      <c r="AM256" s="609" t="e">
        <f>O256*'Don gia XCSDL DC'!#REF!*50%</f>
        <v>#REF!</v>
      </c>
      <c r="AN256" s="609" t="e">
        <f>T256*'Don gia XCSDL DC'!#REF!*$AN$8</f>
        <v>#REF!</v>
      </c>
      <c r="AO256" s="609" t="e">
        <f>U256*'Don gia XCSDL DC'!#REF!*1</f>
        <v>#REF!</v>
      </c>
      <c r="AP256" s="609" t="e">
        <f>P256*X256*'Don gia XCSDL DC'!#REF!</f>
        <v>#REF!</v>
      </c>
      <c r="AQ256" s="609" t="e">
        <f>Q256*$AQ$8*'Don gia XCSDL DC'!#REF!</f>
        <v>#REF!</v>
      </c>
      <c r="AR256" s="609" t="e">
        <f>M256*$AR$8*'Don gia XCSDL DC'!#REF!</f>
        <v>#REF!</v>
      </c>
      <c r="AS256" s="609" t="e">
        <f>J256*'Don gia XCSDL DC'!#REF!</f>
        <v>#REF!</v>
      </c>
      <c r="AT256" s="609">
        <f>D256*'Don gia XCSDL DC'!$K$26</f>
        <v>0</v>
      </c>
      <c r="AU256" s="609">
        <f>J256*'Don gia XCSDL DC'!$K$34</f>
        <v>0</v>
      </c>
      <c r="AV256" s="609">
        <f>O256*'Don gia XCSDL DC'!$K$37</f>
        <v>0</v>
      </c>
      <c r="AW256" s="610" t="e">
        <f t="shared" si="125"/>
        <v>#REF!</v>
      </c>
      <c r="AX256" s="611" t="e">
        <f t="shared" si="126"/>
        <v>#REF!</v>
      </c>
      <c r="AY256" s="806" t="e">
        <f t="shared" si="116"/>
        <v>#REF!</v>
      </c>
      <c r="AZ256" s="612" t="e">
        <f>D256*'Don gia XCSDL DC'!#REF!</f>
        <v>#REF!</v>
      </c>
      <c r="BA256" s="613" t="e">
        <f>(Q256+M256)*'Don gia XCSDL DC'!#REF!</f>
        <v>#REF!</v>
      </c>
    </row>
    <row r="257" spans="1:53" ht="24.75" customHeight="1">
      <c r="A257" s="599"/>
      <c r="B257" s="445">
        <v>6</v>
      </c>
      <c r="C257" s="445" t="s">
        <v>515</v>
      </c>
      <c r="D257" s="600">
        <v>9</v>
      </c>
      <c r="E257" s="561">
        <v>9</v>
      </c>
      <c r="F257" s="561">
        <v>1</v>
      </c>
      <c r="G257" s="602">
        <v>1</v>
      </c>
      <c r="H257" s="561"/>
      <c r="I257" s="561"/>
      <c r="J257" s="691">
        <v>135293</v>
      </c>
      <c r="K257" s="658">
        <v>153164</v>
      </c>
      <c r="L257" s="658">
        <v>153164</v>
      </c>
      <c r="M257" s="595">
        <f>J257*20%</f>
        <v>27058.600000000002</v>
      </c>
      <c r="N257" s="658">
        <f t="shared" si="138"/>
        <v>108234.4</v>
      </c>
      <c r="O257" s="658">
        <f t="shared" si="139"/>
        <v>104013.25839999999</v>
      </c>
      <c r="P257" s="658">
        <f t="shared" si="140"/>
        <v>91426.458399999989</v>
      </c>
      <c r="Q257" s="658">
        <f t="shared" si="141"/>
        <v>4221.1416000000027</v>
      </c>
      <c r="R257" s="658"/>
      <c r="S257" s="692">
        <v>45477</v>
      </c>
      <c r="T257" s="621">
        <f t="shared" si="144"/>
        <v>2273.85</v>
      </c>
      <c r="U257" s="665">
        <f>62934/5-T257</f>
        <v>10312.949999999999</v>
      </c>
      <c r="V257" s="658">
        <f t="shared" si="142"/>
        <v>32890.200000000004</v>
      </c>
      <c r="W257" s="658"/>
      <c r="X257" s="607">
        <f t="shared" si="109"/>
        <v>0.48501218339543228</v>
      </c>
      <c r="Y257" s="608">
        <f t="shared" si="143"/>
        <v>545724</v>
      </c>
      <c r="AA257" s="609">
        <f>D257*'Don gia XCSDL DC'!$K$8</f>
        <v>4151.3406729085382</v>
      </c>
      <c r="AB257" s="609">
        <f>D257*'Don gia XCSDL DC'!$K$9</f>
        <v>3960.8851479085388</v>
      </c>
      <c r="AC257" s="609" t="e">
        <f>D257*'Don gia XCSDL DC'!#REF!</f>
        <v>#REF!</v>
      </c>
      <c r="AD257" s="609">
        <f>D257*'Don gia XCSDL DC'!$K$10</f>
        <v>15949.40178452601</v>
      </c>
      <c r="AE257" s="609">
        <f>J257*'Don gia XCSDL DC'!$K$11</f>
        <v>0</v>
      </c>
      <c r="AF257" s="609" t="e">
        <f>S257*'Don gia XCSDL DC'!#REF!</f>
        <v>#REF!</v>
      </c>
      <c r="AG257" s="609" t="e">
        <f>D257*'Don gia XCSDL DC'!#REF!</f>
        <v>#REF!</v>
      </c>
      <c r="AH257" s="609" t="e">
        <f>J257*'Don gia XCSDL DC'!#REF!</f>
        <v>#REF!</v>
      </c>
      <c r="AI257" s="609" t="e">
        <f>D257*'Don gia XCSDL DC'!#REF!</f>
        <v>#REF!</v>
      </c>
      <c r="AJ257" s="609">
        <f>S257*2*'Don gia XCSDL DC'!$K$24</f>
        <v>777710175.16439116</v>
      </c>
      <c r="AK257" s="609" t="e">
        <f>S257*3*'Don gia XCSDL DC'!#REF!</f>
        <v>#REF!</v>
      </c>
      <c r="AL257" s="609" t="e">
        <f>(S257*2+S257*3)*('Don gia XCSDL DC'!#REF!+'Don gia XCSDL DC'!#REF!+'Don gia XCSDL DC'!#REF!)</f>
        <v>#REF!</v>
      </c>
      <c r="AM257" s="609" t="e">
        <f>O257*'Don gia XCSDL DC'!#REF!*50%</f>
        <v>#REF!</v>
      </c>
      <c r="AN257" s="609" t="e">
        <f>T257*'Don gia XCSDL DC'!#REF!*$AN$8</f>
        <v>#REF!</v>
      </c>
      <c r="AO257" s="609" t="e">
        <f>U257*'Don gia XCSDL DC'!#REF!*1</f>
        <v>#REF!</v>
      </c>
      <c r="AP257" s="609" t="e">
        <f>P257*X257*'Don gia XCSDL DC'!#REF!</f>
        <v>#REF!</v>
      </c>
      <c r="AQ257" s="609" t="e">
        <f>Q257*$AQ$8*'Don gia XCSDL DC'!#REF!</f>
        <v>#REF!</v>
      </c>
      <c r="AR257" s="609" t="e">
        <f>M257*$AR$8*'Don gia XCSDL DC'!#REF!</f>
        <v>#REF!</v>
      </c>
      <c r="AS257" s="609" t="e">
        <f>J257*'Don gia XCSDL DC'!#REF!</f>
        <v>#REF!</v>
      </c>
      <c r="AT257" s="609">
        <f>D257*'Don gia XCSDL DC'!$K$26</f>
        <v>0</v>
      </c>
      <c r="AU257" s="609">
        <f>J257*'Don gia XCSDL DC'!$K$34</f>
        <v>0</v>
      </c>
      <c r="AV257" s="609">
        <f>O257*'Don gia XCSDL DC'!$K$37</f>
        <v>0</v>
      </c>
      <c r="AW257" s="610" t="e">
        <f t="shared" si="125"/>
        <v>#REF!</v>
      </c>
      <c r="AX257" s="611" t="e">
        <f t="shared" si="126"/>
        <v>#REF!</v>
      </c>
      <c r="AY257" s="806" t="e">
        <f t="shared" si="116"/>
        <v>#REF!</v>
      </c>
      <c r="AZ257" s="612" t="e">
        <f>D257*'Don gia XCSDL DC'!#REF!</f>
        <v>#REF!</v>
      </c>
      <c r="BA257" s="613" t="e">
        <f>(Q257+M257)*'Don gia XCSDL DC'!#REF!</f>
        <v>#REF!</v>
      </c>
    </row>
    <row r="258" spans="1:53" ht="24.75" customHeight="1">
      <c r="A258" s="599"/>
      <c r="B258" s="445">
        <v>7</v>
      </c>
      <c r="C258" s="445" t="s">
        <v>516</v>
      </c>
      <c r="D258" s="600">
        <v>15</v>
      </c>
      <c r="E258" s="561">
        <v>15</v>
      </c>
      <c r="F258" s="561">
        <v>1</v>
      </c>
      <c r="G258" s="602">
        <v>1</v>
      </c>
      <c r="H258" s="561"/>
      <c r="I258" s="561"/>
      <c r="J258" s="691">
        <v>144107</v>
      </c>
      <c r="K258" s="658">
        <v>141846</v>
      </c>
      <c r="L258" s="658">
        <v>141846</v>
      </c>
      <c r="M258" s="595">
        <f>J258*20%</f>
        <v>28821.4</v>
      </c>
      <c r="N258" s="658">
        <f t="shared" si="138"/>
        <v>115285.6</v>
      </c>
      <c r="O258" s="658">
        <f t="shared" si="139"/>
        <v>110789.4616</v>
      </c>
      <c r="P258" s="658">
        <f t="shared" si="140"/>
        <v>92026.861600000004</v>
      </c>
      <c r="Q258" s="658">
        <f t="shared" si="141"/>
        <v>4496.1384000000107</v>
      </c>
      <c r="R258" s="658"/>
      <c r="S258" s="692">
        <v>78655</v>
      </c>
      <c r="T258" s="621">
        <f t="shared" si="144"/>
        <v>3932.75</v>
      </c>
      <c r="U258" s="665">
        <f>93813/5-T258</f>
        <v>14829.849999999999</v>
      </c>
      <c r="V258" s="658">
        <f t="shared" si="142"/>
        <v>59892.4</v>
      </c>
      <c r="W258" s="658"/>
      <c r="X258" s="607">
        <f t="shared" si="109"/>
        <v>0.71913326303811731</v>
      </c>
      <c r="Y258" s="608">
        <f t="shared" si="143"/>
        <v>943860</v>
      </c>
      <c r="AA258" s="609">
        <f>D258*'Don gia XCSDL DC'!$K$8</f>
        <v>6918.9011215142309</v>
      </c>
      <c r="AB258" s="609">
        <f>D258*'Don gia XCSDL DC'!$K$9</f>
        <v>6601.4752465142319</v>
      </c>
      <c r="AC258" s="609" t="e">
        <f>D258*'Don gia XCSDL DC'!#REF!</f>
        <v>#REF!</v>
      </c>
      <c r="AD258" s="609">
        <f>D258*'Don gia XCSDL DC'!$K$10</f>
        <v>26582.336307543348</v>
      </c>
      <c r="AE258" s="609">
        <f>J258*'Don gia XCSDL DC'!$K$11</f>
        <v>0</v>
      </c>
      <c r="AF258" s="609" t="e">
        <f>S258*'Don gia XCSDL DC'!#REF!</f>
        <v>#REF!</v>
      </c>
      <c r="AG258" s="609" t="e">
        <f>D258*'Don gia XCSDL DC'!#REF!</f>
        <v>#REF!</v>
      </c>
      <c r="AH258" s="609" t="e">
        <f>J258*'Don gia XCSDL DC'!#REF!</f>
        <v>#REF!</v>
      </c>
      <c r="AI258" s="609" t="e">
        <f>D258*'Don gia XCSDL DC'!#REF!</f>
        <v>#REF!</v>
      </c>
      <c r="AJ258" s="609">
        <f>S258*2*'Don gia XCSDL DC'!$K$24</f>
        <v>1345092988.2700088</v>
      </c>
      <c r="AK258" s="609" t="e">
        <f>S258*3*'Don gia XCSDL DC'!#REF!</f>
        <v>#REF!</v>
      </c>
      <c r="AL258" s="609" t="e">
        <f>(S258*2+S258*3)*('Don gia XCSDL DC'!#REF!+'Don gia XCSDL DC'!#REF!+'Don gia XCSDL DC'!#REF!)</f>
        <v>#REF!</v>
      </c>
      <c r="AM258" s="609" t="e">
        <f>O258*'Don gia XCSDL DC'!#REF!*50%</f>
        <v>#REF!</v>
      </c>
      <c r="AN258" s="609" t="e">
        <f>T258*'Don gia XCSDL DC'!#REF!*$AN$8</f>
        <v>#REF!</v>
      </c>
      <c r="AO258" s="609" t="e">
        <f>U258*'Don gia XCSDL DC'!#REF!*1</f>
        <v>#REF!</v>
      </c>
      <c r="AP258" s="609" t="e">
        <f>P258*X258*'Don gia XCSDL DC'!#REF!</f>
        <v>#REF!</v>
      </c>
      <c r="AQ258" s="609" t="e">
        <f>Q258*$AQ$8*'Don gia XCSDL DC'!#REF!</f>
        <v>#REF!</v>
      </c>
      <c r="AR258" s="609" t="e">
        <f>M258*$AR$8*'Don gia XCSDL DC'!#REF!</f>
        <v>#REF!</v>
      </c>
      <c r="AS258" s="609" t="e">
        <f>J258*'Don gia XCSDL DC'!#REF!</f>
        <v>#REF!</v>
      </c>
      <c r="AT258" s="609">
        <f>D258*'Don gia XCSDL DC'!$K$26</f>
        <v>0</v>
      </c>
      <c r="AU258" s="609">
        <f>J258*'Don gia XCSDL DC'!$K$34</f>
        <v>0</v>
      </c>
      <c r="AV258" s="609">
        <f>O258*'Don gia XCSDL DC'!$K$37</f>
        <v>0</v>
      </c>
      <c r="AW258" s="610" t="e">
        <f t="shared" si="125"/>
        <v>#REF!</v>
      </c>
      <c r="AX258" s="611" t="e">
        <f t="shared" si="126"/>
        <v>#REF!</v>
      </c>
      <c r="AY258" s="806" t="e">
        <f t="shared" si="116"/>
        <v>#REF!</v>
      </c>
      <c r="AZ258" s="612" t="e">
        <f>D258*'Don gia XCSDL DC'!#REF!</f>
        <v>#REF!</v>
      </c>
      <c r="BA258" s="613" t="e">
        <f>(Q258+M258)*'Don gia XCSDL DC'!#REF!</f>
        <v>#REF!</v>
      </c>
    </row>
    <row r="259" spans="1:53" ht="24.75" customHeight="1">
      <c r="A259" s="599"/>
      <c r="B259" s="445">
        <v>8</v>
      </c>
      <c r="C259" s="445" t="s">
        <v>517</v>
      </c>
      <c r="D259" s="600">
        <v>10</v>
      </c>
      <c r="E259" s="561">
        <v>10</v>
      </c>
      <c r="F259" s="561">
        <v>1</v>
      </c>
      <c r="G259" s="602">
        <v>1</v>
      </c>
      <c r="H259" s="561"/>
      <c r="I259" s="561"/>
      <c r="J259" s="691">
        <v>117193</v>
      </c>
      <c r="K259" s="658">
        <v>247455</v>
      </c>
      <c r="L259" s="658">
        <v>494910</v>
      </c>
      <c r="M259" s="595">
        <f>J259*25%</f>
        <v>29298.25</v>
      </c>
      <c r="N259" s="658">
        <f t="shared" si="138"/>
        <v>87894.75</v>
      </c>
      <c r="O259" s="658">
        <f t="shared" si="139"/>
        <v>84466.854749999999</v>
      </c>
      <c r="P259" s="658">
        <f t="shared" si="140"/>
        <v>73419.354749999999</v>
      </c>
      <c r="Q259" s="658">
        <f t="shared" si="141"/>
        <v>3427.8952500000014</v>
      </c>
      <c r="R259" s="658"/>
      <c r="S259" s="692">
        <v>48431</v>
      </c>
      <c r="T259" s="621">
        <f t="shared" si="144"/>
        <v>2421.5500000000002</v>
      </c>
      <c r="U259" s="665">
        <f>132570/12-T259</f>
        <v>8625.9500000000007</v>
      </c>
      <c r="V259" s="658">
        <f t="shared" si="142"/>
        <v>37383.5</v>
      </c>
      <c r="W259" s="658"/>
      <c r="X259" s="607">
        <f t="shared" si="109"/>
        <v>0.60520816986139714</v>
      </c>
      <c r="Y259" s="608">
        <f t="shared" si="143"/>
        <v>581172</v>
      </c>
      <c r="AA259" s="609">
        <f>D259*'Don gia XCSDL DC'!$K$8</f>
        <v>4612.6007476761533</v>
      </c>
      <c r="AB259" s="609">
        <f>D259*'Don gia XCSDL DC'!$K$9</f>
        <v>4400.983497676154</v>
      </c>
      <c r="AC259" s="609" t="e">
        <f>D259*'Don gia XCSDL DC'!#REF!</f>
        <v>#REF!</v>
      </c>
      <c r="AD259" s="609">
        <f>D259*'Don gia XCSDL DC'!$K$10</f>
        <v>17721.557538362234</v>
      </c>
      <c r="AE259" s="609">
        <f>J259*'Don gia XCSDL DC'!$K$11</f>
        <v>0</v>
      </c>
      <c r="AF259" s="609" t="e">
        <f>S259*'Don gia XCSDL DC'!#REF!</f>
        <v>#REF!</v>
      </c>
      <c r="AG259" s="609" t="e">
        <f>D259*'Don gia XCSDL DC'!#REF!</f>
        <v>#REF!</v>
      </c>
      <c r="AH259" s="609" t="e">
        <f>J259*'Don gia XCSDL DC'!#REF!</f>
        <v>#REF!</v>
      </c>
      <c r="AI259" s="609" t="e">
        <f>D259*'Don gia XCSDL DC'!#REF!</f>
        <v>#REF!</v>
      </c>
      <c r="AJ259" s="609">
        <f>S259*2*'Don gia XCSDL DC'!$K$24</f>
        <v>828227048.69245183</v>
      </c>
      <c r="AK259" s="609" t="e">
        <f>S259*3*'Don gia XCSDL DC'!#REF!</f>
        <v>#REF!</v>
      </c>
      <c r="AL259" s="609" t="e">
        <f>(S259*2+S259*3)*('Don gia XCSDL DC'!#REF!+'Don gia XCSDL DC'!#REF!+'Don gia XCSDL DC'!#REF!)</f>
        <v>#REF!</v>
      </c>
      <c r="AM259" s="609" t="e">
        <f>O259*'Don gia XCSDL DC'!#REF!*50%</f>
        <v>#REF!</v>
      </c>
      <c r="AN259" s="609" t="e">
        <f>T259*'Don gia XCSDL DC'!#REF!*$AN$8</f>
        <v>#REF!</v>
      </c>
      <c r="AO259" s="609" t="e">
        <f>U259*'Don gia XCSDL DC'!#REF!*1</f>
        <v>#REF!</v>
      </c>
      <c r="AP259" s="609" t="e">
        <f>P259*X259*'Don gia XCSDL DC'!#REF!</f>
        <v>#REF!</v>
      </c>
      <c r="AQ259" s="609" t="e">
        <f>Q259*$AQ$8*'Don gia XCSDL DC'!#REF!</f>
        <v>#REF!</v>
      </c>
      <c r="AR259" s="609" t="e">
        <f>M259*$AR$8*'Don gia XCSDL DC'!#REF!</f>
        <v>#REF!</v>
      </c>
      <c r="AS259" s="609" t="e">
        <f>J259*'Don gia XCSDL DC'!#REF!</f>
        <v>#REF!</v>
      </c>
      <c r="AT259" s="609">
        <f>D259*'Don gia XCSDL DC'!$K$26</f>
        <v>0</v>
      </c>
      <c r="AU259" s="609">
        <f>J259*'Don gia XCSDL DC'!$K$34</f>
        <v>0</v>
      </c>
      <c r="AV259" s="609">
        <f>O259*'Don gia XCSDL DC'!$K$37</f>
        <v>0</v>
      </c>
      <c r="AW259" s="610" t="e">
        <f t="shared" si="125"/>
        <v>#REF!</v>
      </c>
      <c r="AX259" s="611" t="e">
        <f t="shared" si="126"/>
        <v>#REF!</v>
      </c>
      <c r="AY259" s="806" t="e">
        <f t="shared" si="116"/>
        <v>#REF!</v>
      </c>
      <c r="AZ259" s="612" t="e">
        <f>D259*'Don gia XCSDL DC'!#REF!</f>
        <v>#REF!</v>
      </c>
      <c r="BA259" s="613" t="e">
        <f>(Q259+M259)*'Don gia XCSDL DC'!#REF!</f>
        <v>#REF!</v>
      </c>
    </row>
    <row r="260" spans="1:53" s="723" customFormat="1" ht="24.75" customHeight="1">
      <c r="A260" s="712"/>
      <c r="B260" s="713"/>
      <c r="C260" s="713" t="s">
        <v>518</v>
      </c>
      <c r="D260" s="714">
        <v>12</v>
      </c>
      <c r="E260" s="775">
        <v>12</v>
      </c>
      <c r="F260" s="775"/>
      <c r="G260" s="775">
        <v>1</v>
      </c>
      <c r="H260" s="775"/>
      <c r="I260" s="775"/>
      <c r="J260" s="782">
        <v>82740</v>
      </c>
      <c r="K260" s="716"/>
      <c r="L260" s="734">
        <v>99547</v>
      </c>
      <c r="M260" s="777"/>
      <c r="N260" s="778"/>
      <c r="O260" s="778"/>
      <c r="P260" s="778"/>
      <c r="Q260" s="778"/>
      <c r="R260" s="778"/>
      <c r="S260" s="783"/>
      <c r="T260" s="778"/>
      <c r="U260" s="730"/>
      <c r="V260" s="778"/>
      <c r="W260" s="778"/>
      <c r="X260" s="721"/>
      <c r="Y260" s="722"/>
      <c r="AA260" s="609"/>
      <c r="AB260" s="609"/>
      <c r="AC260" s="609"/>
      <c r="AD260" s="724"/>
      <c r="AE260" s="724"/>
      <c r="AF260" s="724"/>
      <c r="AG260" s="724"/>
      <c r="AH260" s="724"/>
      <c r="AI260" s="724"/>
      <c r="AJ260" s="724"/>
      <c r="AK260" s="724"/>
      <c r="AL260" s="724"/>
      <c r="AM260" s="724"/>
      <c r="AN260" s="724"/>
      <c r="AO260" s="724"/>
      <c r="AP260" s="724"/>
      <c r="AQ260" s="724"/>
      <c r="AR260" s="724"/>
      <c r="AS260" s="724"/>
      <c r="AT260" s="724"/>
      <c r="AU260" s="724"/>
      <c r="AV260" s="609"/>
      <c r="AW260" s="610"/>
      <c r="AX260" s="611"/>
      <c r="AY260" s="807"/>
      <c r="AZ260" s="612"/>
      <c r="BA260" s="613"/>
    </row>
    <row r="261" spans="1:53" s="598" customFormat="1" ht="24.75" customHeight="1">
      <c r="A261" s="589">
        <v>2</v>
      </c>
      <c r="B261" s="1945" t="s">
        <v>519</v>
      </c>
      <c r="C261" s="1945"/>
      <c r="D261" s="583"/>
      <c r="E261" s="595">
        <f>SUM(E262:E270)</f>
        <v>118</v>
      </c>
      <c r="F261" s="595">
        <f>SUM(F262:F270)</f>
        <v>9</v>
      </c>
      <c r="G261" s="596">
        <f>SUM(G262:G276)</f>
        <v>15</v>
      </c>
      <c r="H261" s="595">
        <v>15</v>
      </c>
      <c r="I261" s="595"/>
      <c r="J261" s="595">
        <f t="shared" ref="J261:Q261" si="145">SUM(J262:J270)</f>
        <v>724642</v>
      </c>
      <c r="K261" s="595">
        <f t="shared" si="145"/>
        <v>724642</v>
      </c>
      <c r="L261" s="595">
        <f t="shared" si="145"/>
        <v>724642</v>
      </c>
      <c r="M261" s="595">
        <f t="shared" si="145"/>
        <v>105077.69999999998</v>
      </c>
      <c r="N261" s="595">
        <f t="shared" si="145"/>
        <v>708398.55</v>
      </c>
      <c r="O261" s="595">
        <f t="shared" si="145"/>
        <v>693116</v>
      </c>
      <c r="P261" s="595">
        <f t="shared" si="145"/>
        <v>990</v>
      </c>
      <c r="Q261" s="595">
        <f t="shared" si="145"/>
        <v>15282.550000000003</v>
      </c>
      <c r="R261" s="595"/>
      <c r="S261" s="595">
        <f>SUM(S262:S270)</f>
        <v>692135</v>
      </c>
      <c r="T261" s="595">
        <f>SUM(T262:T270)</f>
        <v>79701</v>
      </c>
      <c r="U261" s="595">
        <f>SUM(U262:U270)</f>
        <v>612425</v>
      </c>
      <c r="V261" s="595">
        <f>SUM(V262:V270)</f>
        <v>9</v>
      </c>
      <c r="W261" s="597">
        <v>0.93899999999999995</v>
      </c>
      <c r="X261" s="607"/>
      <c r="Y261" s="595">
        <f>SUM(Y262:Y270)</f>
        <v>8305620</v>
      </c>
      <c r="AA261" s="609"/>
      <c r="AB261" s="609"/>
      <c r="AC261" s="609"/>
      <c r="AD261" s="591"/>
      <c r="AE261" s="591"/>
      <c r="AF261" s="591"/>
      <c r="AG261" s="591"/>
      <c r="AH261" s="591"/>
      <c r="AI261" s="591"/>
      <c r="AJ261" s="591"/>
      <c r="AK261" s="591"/>
      <c r="AL261" s="591"/>
      <c r="AM261" s="591"/>
      <c r="AN261" s="591"/>
      <c r="AO261" s="591"/>
      <c r="AP261" s="591"/>
      <c r="AQ261" s="591"/>
      <c r="AR261" s="591"/>
      <c r="AS261" s="591"/>
      <c r="AT261" s="591"/>
      <c r="AU261" s="591"/>
      <c r="AV261" s="609"/>
      <c r="AW261" s="610"/>
      <c r="AX261" s="611"/>
      <c r="AY261" s="808"/>
      <c r="AZ261" s="612"/>
      <c r="BA261" s="613"/>
    </row>
    <row r="262" spans="1:53" ht="24.75" customHeight="1">
      <c r="A262" s="599"/>
      <c r="B262" s="445">
        <v>1</v>
      </c>
      <c r="C262" s="445" t="s">
        <v>520</v>
      </c>
      <c r="D262" s="600">
        <v>14</v>
      </c>
      <c r="E262" s="561">
        <v>14</v>
      </c>
      <c r="F262" s="561">
        <v>1</v>
      </c>
      <c r="G262" s="602">
        <v>1</v>
      </c>
      <c r="H262" s="561"/>
      <c r="I262" s="561"/>
      <c r="J262" s="658">
        <v>72372</v>
      </c>
      <c r="K262" s="658">
        <v>72372</v>
      </c>
      <c r="L262" s="658">
        <v>72372</v>
      </c>
      <c r="M262" s="595">
        <f>J262*10%</f>
        <v>7237.2000000000007</v>
      </c>
      <c r="N262" s="658">
        <f>J262</f>
        <v>72372</v>
      </c>
      <c r="O262" s="658">
        <v>72209</v>
      </c>
      <c r="P262" s="658">
        <f t="shared" ref="P262:P270" si="146">O262-T262-U262</f>
        <v>1</v>
      </c>
      <c r="Q262" s="658">
        <f t="shared" ref="Q262:Q270" si="147">N262-O262</f>
        <v>163</v>
      </c>
      <c r="R262" s="658"/>
      <c r="S262" s="658">
        <v>72209</v>
      </c>
      <c r="T262" s="621">
        <v>14474</v>
      </c>
      <c r="U262" s="665">
        <f t="shared" ref="U262:U270" si="148">S262-T262-1</f>
        <v>57734</v>
      </c>
      <c r="V262" s="658">
        <f t="shared" ref="V262:V270" si="149">S262-T262-U262</f>
        <v>1</v>
      </c>
      <c r="W262" s="658"/>
      <c r="X262" s="607">
        <f t="shared" ref="X262:X325" si="150">((V262*37)+(P262*9))/(P262*46)</f>
        <v>1</v>
      </c>
      <c r="Y262" s="608">
        <f t="shared" ref="Y262:Y270" si="151">S262*12</f>
        <v>866508</v>
      </c>
      <c r="AA262" s="609">
        <f>D262*'Don gia XCSDL DC'!$K$8</f>
        <v>6457.6410467466158</v>
      </c>
      <c r="AB262" s="609">
        <f>D262*'Don gia XCSDL DC'!$K$9</f>
        <v>6161.3768967466167</v>
      </c>
      <c r="AC262" s="609" t="e">
        <f>D262*'Don gia XCSDL DC'!#REF!</f>
        <v>#REF!</v>
      </c>
      <c r="AD262" s="609">
        <f>D262*'Don gia XCSDL DC'!$K$10</f>
        <v>24810.180553707127</v>
      </c>
      <c r="AE262" s="609">
        <f>J262*'Don gia XCSDL DC'!$K$11</f>
        <v>0</v>
      </c>
      <c r="AF262" s="609" t="e">
        <f>S262*'Don gia XCSDL DC'!#REF!</f>
        <v>#REF!</v>
      </c>
      <c r="AG262" s="609" t="e">
        <f>D262*'Don gia XCSDL DC'!#REF!</f>
        <v>#REF!</v>
      </c>
      <c r="AH262" s="609" t="e">
        <f>J262*'Don gia XCSDL DC'!#REF!</f>
        <v>#REF!</v>
      </c>
      <c r="AI262" s="609" t="e">
        <f>D262*'Don gia XCSDL DC'!#REF!</f>
        <v>#REF!</v>
      </c>
      <c r="AJ262" s="609">
        <f>S262*2*'Don gia XCSDL DC'!$K$24</f>
        <v>1234858808.5943561</v>
      </c>
      <c r="AK262" s="609" t="e">
        <f>S262*3*'Don gia XCSDL DC'!#REF!</f>
        <v>#REF!</v>
      </c>
      <c r="AL262" s="609" t="e">
        <f>(S262*2+S262*3)*('Don gia XCSDL DC'!#REF!+'Don gia XCSDL DC'!#REF!+'Don gia XCSDL DC'!#REF!)</f>
        <v>#REF!</v>
      </c>
      <c r="AM262" s="609" t="e">
        <f>O262*'Don gia XCSDL DC'!#REF!*50%</f>
        <v>#REF!</v>
      </c>
      <c r="AN262" s="609" t="e">
        <f>T262*'Don gia XCSDL DC'!#REF!*$AN$8</f>
        <v>#REF!</v>
      </c>
      <c r="AO262" s="609" t="e">
        <f>U262*'Don gia XCSDL DC'!#REF!*1</f>
        <v>#REF!</v>
      </c>
      <c r="AP262" s="609" t="e">
        <f>P262*X262*'Don gia XCSDL DC'!#REF!</f>
        <v>#REF!</v>
      </c>
      <c r="AQ262" s="609" t="e">
        <f>Q262*$AQ$8*'Don gia XCSDL DC'!#REF!</f>
        <v>#REF!</v>
      </c>
      <c r="AR262" s="609" t="e">
        <f>M262*$AR$8*'Don gia XCSDL DC'!#REF!</f>
        <v>#REF!</v>
      </c>
      <c r="AS262" s="609" t="e">
        <f>J262*'Don gia XCSDL DC'!#REF!</f>
        <v>#REF!</v>
      </c>
      <c r="AT262" s="609">
        <f>D262*'Don gia XCSDL DC'!$K$26</f>
        <v>0</v>
      </c>
      <c r="AU262" s="609">
        <f>J262*'Don gia XCSDL DC'!$K$34</f>
        <v>0</v>
      </c>
      <c r="AV262" s="609">
        <f>O262*'Don gia XCSDL DC'!$K$37</f>
        <v>0</v>
      </c>
      <c r="AW262" s="610" t="e">
        <f t="shared" si="125"/>
        <v>#REF!</v>
      </c>
      <c r="AX262" s="611" t="e">
        <f t="shared" si="126"/>
        <v>#REF!</v>
      </c>
      <c r="AY262" s="806" t="e">
        <f t="shared" ref="AY262:AY325" si="152">(AX262*100)/AW262</f>
        <v>#REF!</v>
      </c>
      <c r="AZ262" s="612" t="e">
        <f>D262*'Don gia XCSDL DC'!#REF!</f>
        <v>#REF!</v>
      </c>
      <c r="BA262" s="613" t="e">
        <f>(Q262+M262)*'Don gia XCSDL DC'!#REF!</f>
        <v>#REF!</v>
      </c>
    </row>
    <row r="263" spans="1:53" ht="24.75" customHeight="1">
      <c r="A263" s="599"/>
      <c r="B263" s="445">
        <v>2</v>
      </c>
      <c r="C263" s="445" t="s">
        <v>521</v>
      </c>
      <c r="D263" s="600">
        <v>13</v>
      </c>
      <c r="E263" s="561">
        <v>13</v>
      </c>
      <c r="F263" s="561">
        <v>1</v>
      </c>
      <c r="G263" s="602">
        <v>1</v>
      </c>
      <c r="H263" s="561"/>
      <c r="I263" s="561"/>
      <c r="J263" s="658">
        <v>63812</v>
      </c>
      <c r="K263" s="658">
        <v>63812</v>
      </c>
      <c r="L263" s="658">
        <v>63812</v>
      </c>
      <c r="M263" s="595">
        <f t="shared" ref="M263:M270" si="153">J263*15%</f>
        <v>9571.7999999999993</v>
      </c>
      <c r="N263" s="658">
        <v>60435</v>
      </c>
      <c r="O263" s="658">
        <v>59248</v>
      </c>
      <c r="P263" s="658">
        <f t="shared" si="146"/>
        <v>135</v>
      </c>
      <c r="Q263" s="658">
        <f t="shared" si="147"/>
        <v>1187</v>
      </c>
      <c r="R263" s="658"/>
      <c r="S263" s="658">
        <v>59114</v>
      </c>
      <c r="T263" s="621">
        <v>6381</v>
      </c>
      <c r="U263" s="665">
        <f t="shared" si="148"/>
        <v>52732</v>
      </c>
      <c r="V263" s="658">
        <f t="shared" si="149"/>
        <v>1</v>
      </c>
      <c r="W263" s="658"/>
      <c r="X263" s="607">
        <f t="shared" si="150"/>
        <v>0.20161030595813204</v>
      </c>
      <c r="Y263" s="608">
        <f t="shared" si="151"/>
        <v>709368</v>
      </c>
      <c r="AA263" s="609">
        <f>D263*'Don gia XCSDL DC'!$K$8</f>
        <v>5996.3809719789997</v>
      </c>
      <c r="AB263" s="609">
        <f>D263*'Don gia XCSDL DC'!$K$9</f>
        <v>5721.2785469790006</v>
      </c>
      <c r="AC263" s="609" t="e">
        <f>D263*'Don gia XCSDL DC'!#REF!</f>
        <v>#REF!</v>
      </c>
      <c r="AD263" s="609">
        <f>D263*'Don gia XCSDL DC'!$K$10</f>
        <v>23038.024799870902</v>
      </c>
      <c r="AE263" s="609">
        <f>J263*'Don gia XCSDL DC'!$K$11</f>
        <v>0</v>
      </c>
      <c r="AF263" s="609" t="e">
        <f>S263*'Don gia XCSDL DC'!#REF!</f>
        <v>#REF!</v>
      </c>
      <c r="AG263" s="609" t="e">
        <f>D263*'Don gia XCSDL DC'!#REF!</f>
        <v>#REF!</v>
      </c>
      <c r="AH263" s="609" t="e">
        <f>J263*'Don gia XCSDL DC'!#REF!</f>
        <v>#REF!</v>
      </c>
      <c r="AI263" s="609" t="e">
        <f>D263*'Don gia XCSDL DC'!#REF!</f>
        <v>#REF!</v>
      </c>
      <c r="AJ263" s="609">
        <f>S263*2*'Don gia XCSDL DC'!$K$24</f>
        <v>1010918910.5408849</v>
      </c>
      <c r="AK263" s="609" t="e">
        <f>S263*3*'Don gia XCSDL DC'!#REF!</f>
        <v>#REF!</v>
      </c>
      <c r="AL263" s="609" t="e">
        <f>(S263*2+S263*3)*('Don gia XCSDL DC'!#REF!+'Don gia XCSDL DC'!#REF!+'Don gia XCSDL DC'!#REF!)</f>
        <v>#REF!</v>
      </c>
      <c r="AM263" s="609" t="e">
        <f>O263*'Don gia XCSDL DC'!#REF!*50%</f>
        <v>#REF!</v>
      </c>
      <c r="AN263" s="609" t="e">
        <f>T263*'Don gia XCSDL DC'!#REF!*$AN$8</f>
        <v>#REF!</v>
      </c>
      <c r="AO263" s="609" t="e">
        <f>U263*'Don gia XCSDL DC'!#REF!*1</f>
        <v>#REF!</v>
      </c>
      <c r="AP263" s="609" t="e">
        <f>P263*X263*'Don gia XCSDL DC'!#REF!</f>
        <v>#REF!</v>
      </c>
      <c r="AQ263" s="609" t="e">
        <f>Q263*$AQ$8*'Don gia XCSDL DC'!#REF!</f>
        <v>#REF!</v>
      </c>
      <c r="AR263" s="609" t="e">
        <f>M263*$AR$8*'Don gia XCSDL DC'!#REF!</f>
        <v>#REF!</v>
      </c>
      <c r="AS263" s="609" t="e">
        <f>J263*'Don gia XCSDL DC'!#REF!</f>
        <v>#REF!</v>
      </c>
      <c r="AT263" s="609">
        <f>D263*'Don gia XCSDL DC'!$K$26</f>
        <v>0</v>
      </c>
      <c r="AU263" s="609">
        <f>J263*'Don gia XCSDL DC'!$K$34</f>
        <v>0</v>
      </c>
      <c r="AV263" s="609">
        <f>O263*'Don gia XCSDL DC'!$K$37</f>
        <v>0</v>
      </c>
      <c r="AW263" s="610" t="e">
        <f t="shared" si="125"/>
        <v>#REF!</v>
      </c>
      <c r="AX263" s="611" t="e">
        <f t="shared" si="126"/>
        <v>#REF!</v>
      </c>
      <c r="AY263" s="806" t="e">
        <f t="shared" si="152"/>
        <v>#REF!</v>
      </c>
      <c r="AZ263" s="612" t="e">
        <f>D263*'Don gia XCSDL DC'!#REF!</f>
        <v>#REF!</v>
      </c>
      <c r="BA263" s="613" t="e">
        <f>(Q263+M263)*'Don gia XCSDL DC'!#REF!</f>
        <v>#REF!</v>
      </c>
    </row>
    <row r="264" spans="1:53" ht="24.75" customHeight="1">
      <c r="A264" s="599"/>
      <c r="B264" s="445">
        <v>3</v>
      </c>
      <c r="C264" s="445" t="s">
        <v>522</v>
      </c>
      <c r="D264" s="600">
        <v>17</v>
      </c>
      <c r="E264" s="561">
        <v>17</v>
      </c>
      <c r="F264" s="561">
        <v>1</v>
      </c>
      <c r="G264" s="602">
        <v>1</v>
      </c>
      <c r="H264" s="561"/>
      <c r="I264" s="561"/>
      <c r="J264" s="658">
        <v>107709</v>
      </c>
      <c r="K264" s="658">
        <v>107709</v>
      </c>
      <c r="L264" s="658">
        <v>107709</v>
      </c>
      <c r="M264" s="595">
        <f t="shared" si="153"/>
        <v>16156.349999999999</v>
      </c>
      <c r="N264" s="658">
        <v>106545</v>
      </c>
      <c r="O264" s="658">
        <v>104770</v>
      </c>
      <c r="P264" s="658">
        <f t="shared" si="146"/>
        <v>144</v>
      </c>
      <c r="Q264" s="658">
        <f t="shared" si="147"/>
        <v>1775</v>
      </c>
      <c r="R264" s="658"/>
      <c r="S264" s="658">
        <v>104627</v>
      </c>
      <c r="T264" s="621">
        <v>10771</v>
      </c>
      <c r="U264" s="665">
        <f t="shared" si="148"/>
        <v>93855</v>
      </c>
      <c r="V264" s="658">
        <f t="shared" si="149"/>
        <v>1</v>
      </c>
      <c r="W264" s="658"/>
      <c r="X264" s="607">
        <f t="shared" si="150"/>
        <v>0.20123792270531402</v>
      </c>
      <c r="Y264" s="608">
        <f t="shared" si="151"/>
        <v>1255524</v>
      </c>
      <c r="AA264" s="609">
        <f>D264*'Don gia XCSDL DC'!$K$8</f>
        <v>7841.4212710494612</v>
      </c>
      <c r="AB264" s="609">
        <f>D264*'Don gia XCSDL DC'!$K$9</f>
        <v>7481.6719460494623</v>
      </c>
      <c r="AC264" s="609" t="e">
        <f>D264*'Don gia XCSDL DC'!#REF!</f>
        <v>#REF!</v>
      </c>
      <c r="AD264" s="609">
        <f>D264*'Don gia XCSDL DC'!$K$10</f>
        <v>30126.647815215798</v>
      </c>
      <c r="AE264" s="609">
        <f>J264*'Don gia XCSDL DC'!$K$11</f>
        <v>0</v>
      </c>
      <c r="AF264" s="609" t="e">
        <f>S264*'Don gia XCSDL DC'!#REF!</f>
        <v>#REF!</v>
      </c>
      <c r="AG264" s="609" t="e">
        <f>D264*'Don gia XCSDL DC'!#REF!</f>
        <v>#REF!</v>
      </c>
      <c r="AH264" s="609" t="e">
        <f>J264*'Don gia XCSDL DC'!#REF!</f>
        <v>#REF!</v>
      </c>
      <c r="AI264" s="609" t="e">
        <f>D264*'Don gia XCSDL DC'!#REF!</f>
        <v>#REF!</v>
      </c>
      <c r="AJ264" s="609">
        <f>S264*2*'Don gia XCSDL DC'!$K$24</f>
        <v>1789244728.0366945</v>
      </c>
      <c r="AK264" s="609" t="e">
        <f>S264*3*'Don gia XCSDL DC'!#REF!</f>
        <v>#REF!</v>
      </c>
      <c r="AL264" s="609" t="e">
        <f>(S264*2+S264*3)*('Don gia XCSDL DC'!#REF!+'Don gia XCSDL DC'!#REF!+'Don gia XCSDL DC'!#REF!)</f>
        <v>#REF!</v>
      </c>
      <c r="AM264" s="609" t="e">
        <f>O264*'Don gia XCSDL DC'!#REF!*50%</f>
        <v>#REF!</v>
      </c>
      <c r="AN264" s="609" t="e">
        <f>T264*'Don gia XCSDL DC'!#REF!*$AN$8</f>
        <v>#REF!</v>
      </c>
      <c r="AO264" s="609" t="e">
        <f>U264*'Don gia XCSDL DC'!#REF!*1</f>
        <v>#REF!</v>
      </c>
      <c r="AP264" s="609" t="e">
        <f>P264*X264*'Don gia XCSDL DC'!#REF!</f>
        <v>#REF!</v>
      </c>
      <c r="AQ264" s="609" t="e">
        <f>Q264*$AQ$8*'Don gia XCSDL DC'!#REF!</f>
        <v>#REF!</v>
      </c>
      <c r="AR264" s="609" t="e">
        <f>M264*$AR$8*'Don gia XCSDL DC'!#REF!</f>
        <v>#REF!</v>
      </c>
      <c r="AS264" s="609" t="e">
        <f>J264*'Don gia XCSDL DC'!#REF!</f>
        <v>#REF!</v>
      </c>
      <c r="AT264" s="609">
        <f>D264*'Don gia XCSDL DC'!$K$26</f>
        <v>0</v>
      </c>
      <c r="AU264" s="609">
        <f>J264*'Don gia XCSDL DC'!$K$34</f>
        <v>0</v>
      </c>
      <c r="AV264" s="609">
        <f>O264*'Don gia XCSDL DC'!$K$37</f>
        <v>0</v>
      </c>
      <c r="AW264" s="610" t="e">
        <f t="shared" si="125"/>
        <v>#REF!</v>
      </c>
      <c r="AX264" s="611" t="e">
        <f t="shared" si="126"/>
        <v>#REF!</v>
      </c>
      <c r="AY264" s="806" t="e">
        <f t="shared" si="152"/>
        <v>#REF!</v>
      </c>
      <c r="AZ264" s="612" t="e">
        <f>D264*'Don gia XCSDL DC'!#REF!</f>
        <v>#REF!</v>
      </c>
      <c r="BA264" s="613" t="e">
        <f>(Q264+M264)*'Don gia XCSDL DC'!#REF!</f>
        <v>#REF!</v>
      </c>
    </row>
    <row r="265" spans="1:53" ht="24.75" customHeight="1">
      <c r="A265" s="599"/>
      <c r="B265" s="445">
        <v>4</v>
      </c>
      <c r="C265" s="445" t="s">
        <v>523</v>
      </c>
      <c r="D265" s="600">
        <v>17</v>
      </c>
      <c r="E265" s="561">
        <v>17</v>
      </c>
      <c r="F265" s="561">
        <v>1</v>
      </c>
      <c r="G265" s="602">
        <v>1</v>
      </c>
      <c r="H265" s="561"/>
      <c r="I265" s="561"/>
      <c r="J265" s="658">
        <v>152829</v>
      </c>
      <c r="K265" s="658">
        <v>152829</v>
      </c>
      <c r="L265" s="658">
        <v>152829</v>
      </c>
      <c r="M265" s="595">
        <f t="shared" si="153"/>
        <v>22924.35</v>
      </c>
      <c r="N265" s="658">
        <v>152089</v>
      </c>
      <c r="O265" s="658">
        <v>151059</v>
      </c>
      <c r="P265" s="658">
        <f t="shared" si="146"/>
        <v>1</v>
      </c>
      <c r="Q265" s="658">
        <f t="shared" si="147"/>
        <v>1030</v>
      </c>
      <c r="R265" s="658"/>
      <c r="S265" s="658">
        <v>151059</v>
      </c>
      <c r="T265" s="621">
        <v>15283</v>
      </c>
      <c r="U265" s="665">
        <f t="shared" si="148"/>
        <v>135775</v>
      </c>
      <c r="V265" s="658">
        <f t="shared" si="149"/>
        <v>1</v>
      </c>
      <c r="W265" s="658"/>
      <c r="X265" s="607">
        <f t="shared" si="150"/>
        <v>1</v>
      </c>
      <c r="Y265" s="608">
        <f t="shared" si="151"/>
        <v>1812708</v>
      </c>
      <c r="AA265" s="609">
        <f>D265*'Don gia XCSDL DC'!$K$8</f>
        <v>7841.4212710494612</v>
      </c>
      <c r="AB265" s="609">
        <f>D265*'Don gia XCSDL DC'!$K$9</f>
        <v>7481.6719460494623</v>
      </c>
      <c r="AC265" s="609" t="e">
        <f>D265*'Don gia XCSDL DC'!#REF!</f>
        <v>#REF!</v>
      </c>
      <c r="AD265" s="609">
        <f>D265*'Don gia XCSDL DC'!$K$10</f>
        <v>30126.647815215798</v>
      </c>
      <c r="AE265" s="609">
        <f>J265*'Don gia XCSDL DC'!$K$11</f>
        <v>0</v>
      </c>
      <c r="AF265" s="609" t="e">
        <f>S265*'Don gia XCSDL DC'!#REF!</f>
        <v>#REF!</v>
      </c>
      <c r="AG265" s="609" t="e">
        <f>D265*'Don gia XCSDL DC'!#REF!</f>
        <v>#REF!</v>
      </c>
      <c r="AH265" s="609" t="e">
        <f>J265*'Don gia XCSDL DC'!#REF!</f>
        <v>#REF!</v>
      </c>
      <c r="AI265" s="609" t="e">
        <f>D265*'Don gia XCSDL DC'!#REF!</f>
        <v>#REF!</v>
      </c>
      <c r="AJ265" s="609">
        <f>S265*2*'Don gia XCSDL DC'!$K$24</f>
        <v>2583286526.1595483</v>
      </c>
      <c r="AK265" s="609" t="e">
        <f>S265*3*'Don gia XCSDL DC'!#REF!</f>
        <v>#REF!</v>
      </c>
      <c r="AL265" s="609" t="e">
        <f>(S265*2+S265*3)*('Don gia XCSDL DC'!#REF!+'Don gia XCSDL DC'!#REF!+'Don gia XCSDL DC'!#REF!)</f>
        <v>#REF!</v>
      </c>
      <c r="AM265" s="609" t="e">
        <f>O265*'Don gia XCSDL DC'!#REF!*50%</f>
        <v>#REF!</v>
      </c>
      <c r="AN265" s="609" t="e">
        <f>T265*'Don gia XCSDL DC'!#REF!*$AN$8</f>
        <v>#REF!</v>
      </c>
      <c r="AO265" s="609" t="e">
        <f>U265*'Don gia XCSDL DC'!#REF!*1</f>
        <v>#REF!</v>
      </c>
      <c r="AP265" s="609" t="e">
        <f>P265*X265*'Don gia XCSDL DC'!#REF!</f>
        <v>#REF!</v>
      </c>
      <c r="AQ265" s="609" t="e">
        <f>Q265*$AQ$8*'Don gia XCSDL DC'!#REF!</f>
        <v>#REF!</v>
      </c>
      <c r="AR265" s="609" t="e">
        <f>M265*$AR$8*'Don gia XCSDL DC'!#REF!</f>
        <v>#REF!</v>
      </c>
      <c r="AS265" s="609" t="e">
        <f>J265*'Don gia XCSDL DC'!#REF!</f>
        <v>#REF!</v>
      </c>
      <c r="AT265" s="609">
        <f>D265*'Don gia XCSDL DC'!$K$26</f>
        <v>0</v>
      </c>
      <c r="AU265" s="609">
        <f>J265*'Don gia XCSDL DC'!$K$34</f>
        <v>0</v>
      </c>
      <c r="AV265" s="609">
        <f>O265*'Don gia XCSDL DC'!$K$37</f>
        <v>0</v>
      </c>
      <c r="AW265" s="610" t="e">
        <f t="shared" si="125"/>
        <v>#REF!</v>
      </c>
      <c r="AX265" s="611" t="e">
        <f t="shared" si="126"/>
        <v>#REF!</v>
      </c>
      <c r="AY265" s="806" t="e">
        <f t="shared" si="152"/>
        <v>#REF!</v>
      </c>
      <c r="AZ265" s="612" t="e">
        <f>D265*'Don gia XCSDL DC'!#REF!</f>
        <v>#REF!</v>
      </c>
      <c r="BA265" s="613" t="e">
        <f>(Q265+M265)*'Don gia XCSDL DC'!#REF!</f>
        <v>#REF!</v>
      </c>
    </row>
    <row r="266" spans="1:53" ht="24.75" customHeight="1">
      <c r="A266" s="599"/>
      <c r="B266" s="445">
        <v>5</v>
      </c>
      <c r="C266" s="445" t="s">
        <v>524</v>
      </c>
      <c r="D266" s="600">
        <v>13</v>
      </c>
      <c r="E266" s="561">
        <v>13</v>
      </c>
      <c r="F266" s="561">
        <v>1</v>
      </c>
      <c r="G266" s="602">
        <v>1</v>
      </c>
      <c r="H266" s="561"/>
      <c r="I266" s="561"/>
      <c r="J266" s="658">
        <v>52094</v>
      </c>
      <c r="K266" s="658">
        <v>52094</v>
      </c>
      <c r="L266" s="658">
        <v>52094</v>
      </c>
      <c r="M266" s="595">
        <f t="shared" si="153"/>
        <v>7814.0999999999995</v>
      </c>
      <c r="N266" s="658">
        <v>52012</v>
      </c>
      <c r="O266" s="658">
        <v>51066</v>
      </c>
      <c r="P266" s="658">
        <f t="shared" si="146"/>
        <v>1</v>
      </c>
      <c r="Q266" s="658">
        <f t="shared" si="147"/>
        <v>946</v>
      </c>
      <c r="R266" s="658"/>
      <c r="S266" s="658">
        <v>51066</v>
      </c>
      <c r="T266" s="621">
        <v>5209</v>
      </c>
      <c r="U266" s="665">
        <f t="shared" si="148"/>
        <v>45856</v>
      </c>
      <c r="V266" s="658">
        <f t="shared" si="149"/>
        <v>1</v>
      </c>
      <c r="W266" s="658"/>
      <c r="X266" s="607">
        <f t="shared" si="150"/>
        <v>1</v>
      </c>
      <c r="Y266" s="608">
        <f t="shared" si="151"/>
        <v>612792</v>
      </c>
      <c r="AA266" s="609">
        <f>D266*'Don gia XCSDL DC'!$K$8</f>
        <v>5996.3809719789997</v>
      </c>
      <c r="AB266" s="609">
        <f>D266*'Don gia XCSDL DC'!$K$9</f>
        <v>5721.2785469790006</v>
      </c>
      <c r="AC266" s="609" t="e">
        <f>D266*'Don gia XCSDL DC'!#REF!</f>
        <v>#REF!</v>
      </c>
      <c r="AD266" s="609">
        <f>D266*'Don gia XCSDL DC'!$K$10</f>
        <v>23038.024799870902</v>
      </c>
      <c r="AE266" s="609">
        <f>J266*'Don gia XCSDL DC'!$K$11</f>
        <v>0</v>
      </c>
      <c r="AF266" s="609" t="e">
        <f>S266*'Don gia XCSDL DC'!#REF!</f>
        <v>#REF!</v>
      </c>
      <c r="AG266" s="609" t="e">
        <f>D266*'Don gia XCSDL DC'!#REF!</f>
        <v>#REF!</v>
      </c>
      <c r="AH266" s="609" t="e">
        <f>J266*'Don gia XCSDL DC'!#REF!</f>
        <v>#REF!</v>
      </c>
      <c r="AI266" s="609" t="e">
        <f>D266*'Don gia XCSDL DC'!#REF!</f>
        <v>#REF!</v>
      </c>
      <c r="AJ266" s="609">
        <f>S266*2*'Don gia XCSDL DC'!$K$24</f>
        <v>873288647.11710978</v>
      </c>
      <c r="AK266" s="609" t="e">
        <f>S266*3*'Don gia XCSDL DC'!#REF!</f>
        <v>#REF!</v>
      </c>
      <c r="AL266" s="609" t="e">
        <f>(S266*2+S266*3)*('Don gia XCSDL DC'!#REF!+'Don gia XCSDL DC'!#REF!+'Don gia XCSDL DC'!#REF!)</f>
        <v>#REF!</v>
      </c>
      <c r="AM266" s="609" t="e">
        <f>O266*'Don gia XCSDL DC'!#REF!*50%</f>
        <v>#REF!</v>
      </c>
      <c r="AN266" s="609" t="e">
        <f>T266*'Don gia XCSDL DC'!#REF!*$AN$8</f>
        <v>#REF!</v>
      </c>
      <c r="AO266" s="609" t="e">
        <f>U266*'Don gia XCSDL DC'!#REF!*1</f>
        <v>#REF!</v>
      </c>
      <c r="AP266" s="609" t="e">
        <f>P266*X266*'Don gia XCSDL DC'!#REF!</f>
        <v>#REF!</v>
      </c>
      <c r="AQ266" s="609" t="e">
        <f>Q266*$AQ$8*'Don gia XCSDL DC'!#REF!</f>
        <v>#REF!</v>
      </c>
      <c r="AR266" s="609" t="e">
        <f>M266*$AR$8*'Don gia XCSDL DC'!#REF!</f>
        <v>#REF!</v>
      </c>
      <c r="AS266" s="609" t="e">
        <f>J266*'Don gia XCSDL DC'!#REF!</f>
        <v>#REF!</v>
      </c>
      <c r="AT266" s="609">
        <f>D266*'Don gia XCSDL DC'!$K$26</f>
        <v>0</v>
      </c>
      <c r="AU266" s="609">
        <f>J266*'Don gia XCSDL DC'!$K$34</f>
        <v>0</v>
      </c>
      <c r="AV266" s="609">
        <f>O266*'Don gia XCSDL DC'!$K$37</f>
        <v>0</v>
      </c>
      <c r="AW266" s="610" t="e">
        <f t="shared" si="125"/>
        <v>#REF!</v>
      </c>
      <c r="AX266" s="611" t="e">
        <f t="shared" si="126"/>
        <v>#REF!</v>
      </c>
      <c r="AY266" s="806" t="e">
        <f t="shared" si="152"/>
        <v>#REF!</v>
      </c>
      <c r="AZ266" s="612" t="e">
        <f>D266*'Don gia XCSDL DC'!#REF!</f>
        <v>#REF!</v>
      </c>
      <c r="BA266" s="613" t="e">
        <f>(Q266+M266)*'Don gia XCSDL DC'!#REF!</f>
        <v>#REF!</v>
      </c>
    </row>
    <row r="267" spans="1:53" ht="24.75" customHeight="1">
      <c r="A267" s="599"/>
      <c r="B267" s="445">
        <v>6</v>
      </c>
      <c r="C267" s="445" t="s">
        <v>525</v>
      </c>
      <c r="D267" s="600">
        <v>11</v>
      </c>
      <c r="E267" s="561">
        <v>11</v>
      </c>
      <c r="F267" s="561">
        <v>1</v>
      </c>
      <c r="G267" s="602">
        <v>1</v>
      </c>
      <c r="H267" s="561"/>
      <c r="I267" s="561"/>
      <c r="J267" s="658">
        <v>58756</v>
      </c>
      <c r="K267" s="658">
        <v>58756</v>
      </c>
      <c r="L267" s="658">
        <v>58756</v>
      </c>
      <c r="M267" s="595">
        <f t="shared" si="153"/>
        <v>8813.4</v>
      </c>
      <c r="N267" s="658">
        <v>58767</v>
      </c>
      <c r="O267" s="658">
        <v>57151</v>
      </c>
      <c r="P267" s="658">
        <f t="shared" si="146"/>
        <v>145</v>
      </c>
      <c r="Q267" s="658">
        <f t="shared" si="147"/>
        <v>1616</v>
      </c>
      <c r="R267" s="658"/>
      <c r="S267" s="658">
        <v>57007</v>
      </c>
      <c r="T267" s="621">
        <v>5876</v>
      </c>
      <c r="U267" s="665">
        <f t="shared" si="148"/>
        <v>51130</v>
      </c>
      <c r="V267" s="658">
        <f t="shared" si="149"/>
        <v>1</v>
      </c>
      <c r="W267" s="658"/>
      <c r="X267" s="607">
        <f t="shared" si="150"/>
        <v>0.20119940029985006</v>
      </c>
      <c r="Y267" s="608">
        <f t="shared" si="151"/>
        <v>684084</v>
      </c>
      <c r="AA267" s="609">
        <f>D267*'Don gia XCSDL DC'!$K$8</f>
        <v>5073.8608224437694</v>
      </c>
      <c r="AB267" s="609">
        <f>D267*'Don gia XCSDL DC'!$K$9</f>
        <v>4841.0818474437701</v>
      </c>
      <c r="AC267" s="609" t="e">
        <f>D267*'Don gia XCSDL DC'!#REF!</f>
        <v>#REF!</v>
      </c>
      <c r="AD267" s="609">
        <f>D267*'Don gia XCSDL DC'!$K$10</f>
        <v>19493.713292198456</v>
      </c>
      <c r="AE267" s="609">
        <f>J267*'Don gia XCSDL DC'!$K$11</f>
        <v>0</v>
      </c>
      <c r="AF267" s="609" t="e">
        <f>S267*'Don gia XCSDL DC'!#REF!</f>
        <v>#REF!</v>
      </c>
      <c r="AG267" s="609" t="e">
        <f>D267*'Don gia XCSDL DC'!#REF!</f>
        <v>#REF!</v>
      </c>
      <c r="AH267" s="609" t="e">
        <f>J267*'Don gia XCSDL DC'!#REF!</f>
        <v>#REF!</v>
      </c>
      <c r="AI267" s="609" t="e">
        <f>D267*'Don gia XCSDL DC'!#REF!</f>
        <v>#REF!</v>
      </c>
      <c r="AJ267" s="609">
        <f>S267*2*'Don gia XCSDL DC'!$K$24</f>
        <v>974886732.97703123</v>
      </c>
      <c r="AK267" s="609" t="e">
        <f>S267*3*'Don gia XCSDL DC'!#REF!</f>
        <v>#REF!</v>
      </c>
      <c r="AL267" s="609" t="e">
        <f>(S267*2+S267*3)*('Don gia XCSDL DC'!#REF!+'Don gia XCSDL DC'!#REF!+'Don gia XCSDL DC'!#REF!)</f>
        <v>#REF!</v>
      </c>
      <c r="AM267" s="609" t="e">
        <f>O267*'Don gia XCSDL DC'!#REF!*50%</f>
        <v>#REF!</v>
      </c>
      <c r="AN267" s="609" t="e">
        <f>T267*'Don gia XCSDL DC'!#REF!*$AN$8</f>
        <v>#REF!</v>
      </c>
      <c r="AO267" s="609" t="e">
        <f>U267*'Don gia XCSDL DC'!#REF!*1</f>
        <v>#REF!</v>
      </c>
      <c r="AP267" s="609" t="e">
        <f>P267*X267*'Don gia XCSDL DC'!#REF!</f>
        <v>#REF!</v>
      </c>
      <c r="AQ267" s="609" t="e">
        <f>Q267*$AQ$8*'Don gia XCSDL DC'!#REF!</f>
        <v>#REF!</v>
      </c>
      <c r="AR267" s="609" t="e">
        <f>M267*$AR$8*'Don gia XCSDL DC'!#REF!</f>
        <v>#REF!</v>
      </c>
      <c r="AS267" s="609" t="e">
        <f>J267*'Don gia XCSDL DC'!#REF!</f>
        <v>#REF!</v>
      </c>
      <c r="AT267" s="609">
        <f>D267*'Don gia XCSDL DC'!$K$26</f>
        <v>0</v>
      </c>
      <c r="AU267" s="609">
        <f>J267*'Don gia XCSDL DC'!$K$34</f>
        <v>0</v>
      </c>
      <c r="AV267" s="609">
        <f>O267*'Don gia XCSDL DC'!$K$37</f>
        <v>0</v>
      </c>
      <c r="AW267" s="610" t="e">
        <f t="shared" si="125"/>
        <v>#REF!</v>
      </c>
      <c r="AX267" s="611" t="e">
        <f t="shared" si="126"/>
        <v>#REF!</v>
      </c>
      <c r="AY267" s="806" t="e">
        <f t="shared" si="152"/>
        <v>#REF!</v>
      </c>
      <c r="AZ267" s="612" t="e">
        <f>D267*'Don gia XCSDL DC'!#REF!</f>
        <v>#REF!</v>
      </c>
      <c r="BA267" s="613" t="e">
        <f>(Q267+M267)*'Don gia XCSDL DC'!#REF!</f>
        <v>#REF!</v>
      </c>
    </row>
    <row r="268" spans="1:53" ht="24.75" customHeight="1">
      <c r="A268" s="599"/>
      <c r="B268" s="445">
        <v>7</v>
      </c>
      <c r="C268" s="445" t="s">
        <v>526</v>
      </c>
      <c r="D268" s="600">
        <v>10</v>
      </c>
      <c r="E268" s="561">
        <v>10</v>
      </c>
      <c r="F268" s="561">
        <v>1</v>
      </c>
      <c r="G268" s="602">
        <v>1</v>
      </c>
      <c r="H268" s="561"/>
      <c r="I268" s="561"/>
      <c r="J268" s="658">
        <v>49101</v>
      </c>
      <c r="K268" s="658">
        <v>49101</v>
      </c>
      <c r="L268" s="658">
        <v>49101</v>
      </c>
      <c r="M268" s="595">
        <f t="shared" si="153"/>
        <v>7365.15</v>
      </c>
      <c r="N268" s="658">
        <v>47867</v>
      </c>
      <c r="O268" s="658">
        <v>45137</v>
      </c>
      <c r="P268" s="658">
        <f t="shared" si="146"/>
        <v>39</v>
      </c>
      <c r="Q268" s="658">
        <f t="shared" si="147"/>
        <v>2730</v>
      </c>
      <c r="R268" s="658"/>
      <c r="S268" s="658">
        <v>45099</v>
      </c>
      <c r="T268" s="621">
        <v>4910</v>
      </c>
      <c r="U268" s="665">
        <f t="shared" si="148"/>
        <v>40188</v>
      </c>
      <c r="V268" s="658">
        <f t="shared" si="149"/>
        <v>1</v>
      </c>
      <c r="W268" s="658"/>
      <c r="X268" s="607">
        <f t="shared" si="150"/>
        <v>0.21627647714604237</v>
      </c>
      <c r="Y268" s="608">
        <f t="shared" si="151"/>
        <v>541188</v>
      </c>
      <c r="AA268" s="609">
        <f>D268*'Don gia XCSDL DC'!$K$8</f>
        <v>4612.6007476761533</v>
      </c>
      <c r="AB268" s="609">
        <f>D268*'Don gia XCSDL DC'!$K$9</f>
        <v>4400.983497676154</v>
      </c>
      <c r="AC268" s="609" t="e">
        <f>D268*'Don gia XCSDL DC'!#REF!</f>
        <v>#REF!</v>
      </c>
      <c r="AD268" s="609">
        <f>D268*'Don gia XCSDL DC'!$K$10</f>
        <v>17721.557538362234</v>
      </c>
      <c r="AE268" s="609">
        <f>J268*'Don gia XCSDL DC'!$K$11</f>
        <v>0</v>
      </c>
      <c r="AF268" s="609" t="e">
        <f>S268*'Don gia XCSDL DC'!#REF!</f>
        <v>#REF!</v>
      </c>
      <c r="AG268" s="609" t="e">
        <f>D268*'Don gia XCSDL DC'!#REF!</f>
        <v>#REF!</v>
      </c>
      <c r="AH268" s="609" t="e">
        <f>J268*'Don gia XCSDL DC'!#REF!</f>
        <v>#REF!</v>
      </c>
      <c r="AI268" s="609" t="e">
        <f>D268*'Don gia XCSDL DC'!#REF!</f>
        <v>#REF!</v>
      </c>
      <c r="AJ268" s="609">
        <f>S268*2*'Don gia XCSDL DC'!$K$24</f>
        <v>771245930.68449724</v>
      </c>
      <c r="AK268" s="609" t="e">
        <f>S268*3*'Don gia XCSDL DC'!#REF!</f>
        <v>#REF!</v>
      </c>
      <c r="AL268" s="609" t="e">
        <f>(S268*2+S268*3)*('Don gia XCSDL DC'!#REF!+'Don gia XCSDL DC'!#REF!+'Don gia XCSDL DC'!#REF!)</f>
        <v>#REF!</v>
      </c>
      <c r="AM268" s="609" t="e">
        <f>O268*'Don gia XCSDL DC'!#REF!*50%</f>
        <v>#REF!</v>
      </c>
      <c r="AN268" s="609" t="e">
        <f>T268*'Don gia XCSDL DC'!#REF!*$AN$8</f>
        <v>#REF!</v>
      </c>
      <c r="AO268" s="609" t="e">
        <f>U268*'Don gia XCSDL DC'!#REF!*1</f>
        <v>#REF!</v>
      </c>
      <c r="AP268" s="609" t="e">
        <f>P268*X268*'Don gia XCSDL DC'!#REF!</f>
        <v>#REF!</v>
      </c>
      <c r="AQ268" s="609" t="e">
        <f>Q268*$AQ$8*'Don gia XCSDL DC'!#REF!</f>
        <v>#REF!</v>
      </c>
      <c r="AR268" s="609" t="e">
        <f>M268*$AR$8*'Don gia XCSDL DC'!#REF!</f>
        <v>#REF!</v>
      </c>
      <c r="AS268" s="609" t="e">
        <f>J268*'Don gia XCSDL DC'!#REF!</f>
        <v>#REF!</v>
      </c>
      <c r="AT268" s="609">
        <f>D268*'Don gia XCSDL DC'!$K$26</f>
        <v>0</v>
      </c>
      <c r="AU268" s="609">
        <f>J268*'Don gia XCSDL DC'!$K$34</f>
        <v>0</v>
      </c>
      <c r="AV268" s="609">
        <f>O268*'Don gia XCSDL DC'!$K$37</f>
        <v>0</v>
      </c>
      <c r="AW268" s="610" t="e">
        <f t="shared" si="125"/>
        <v>#REF!</v>
      </c>
      <c r="AX268" s="611" t="e">
        <f t="shared" si="126"/>
        <v>#REF!</v>
      </c>
      <c r="AY268" s="806" t="e">
        <f t="shared" si="152"/>
        <v>#REF!</v>
      </c>
      <c r="AZ268" s="612" t="e">
        <f>D268*'Don gia XCSDL DC'!#REF!</f>
        <v>#REF!</v>
      </c>
      <c r="BA268" s="613" t="e">
        <f>(Q268+M268)*'Don gia XCSDL DC'!#REF!</f>
        <v>#REF!</v>
      </c>
    </row>
    <row r="269" spans="1:53" ht="24.75" customHeight="1">
      <c r="A269" s="599"/>
      <c r="B269" s="445">
        <v>8</v>
      </c>
      <c r="C269" s="445" t="s">
        <v>527</v>
      </c>
      <c r="D269" s="600">
        <v>12</v>
      </c>
      <c r="E269" s="561">
        <v>12</v>
      </c>
      <c r="F269" s="561">
        <v>1</v>
      </c>
      <c r="G269" s="602">
        <v>1</v>
      </c>
      <c r="H269" s="561"/>
      <c r="I269" s="561"/>
      <c r="J269" s="658">
        <v>55783</v>
      </c>
      <c r="K269" s="658">
        <v>55783</v>
      </c>
      <c r="L269" s="658">
        <v>55783</v>
      </c>
      <c r="M269" s="595">
        <f t="shared" si="153"/>
        <v>8367.4499999999989</v>
      </c>
      <c r="N269" s="658">
        <f>J269-M269</f>
        <v>47415.55</v>
      </c>
      <c r="O269" s="658">
        <v>46737</v>
      </c>
      <c r="P269" s="658">
        <f t="shared" si="146"/>
        <v>242</v>
      </c>
      <c r="Q269" s="658">
        <f t="shared" si="147"/>
        <v>678.55000000000291</v>
      </c>
      <c r="R269" s="658"/>
      <c r="S269" s="658">
        <v>46496</v>
      </c>
      <c r="T269" s="621">
        <v>5578</v>
      </c>
      <c r="U269" s="665">
        <f t="shared" si="148"/>
        <v>40917</v>
      </c>
      <c r="V269" s="658">
        <f t="shared" si="149"/>
        <v>1</v>
      </c>
      <c r="W269" s="658"/>
      <c r="X269" s="607">
        <f t="shared" si="150"/>
        <v>0.19897592526051025</v>
      </c>
      <c r="Y269" s="608">
        <f t="shared" si="151"/>
        <v>557952</v>
      </c>
      <c r="AA269" s="609">
        <f>D269*'Don gia XCSDL DC'!$K$8</f>
        <v>5535.1208972113845</v>
      </c>
      <c r="AB269" s="609">
        <f>D269*'Don gia XCSDL DC'!$K$9</f>
        <v>5281.1801972113853</v>
      </c>
      <c r="AC269" s="609" t="e">
        <f>D269*'Don gia XCSDL DC'!#REF!</f>
        <v>#REF!</v>
      </c>
      <c r="AD269" s="609">
        <f>D269*'Don gia XCSDL DC'!$K$10</f>
        <v>21265.869046034681</v>
      </c>
      <c r="AE269" s="609">
        <f>J269*'Don gia XCSDL DC'!$K$11</f>
        <v>0</v>
      </c>
      <c r="AF269" s="609" t="e">
        <f>S269*'Don gia XCSDL DC'!#REF!</f>
        <v>#REF!</v>
      </c>
      <c r="AG269" s="609" t="e">
        <f>D269*'Don gia XCSDL DC'!#REF!</f>
        <v>#REF!</v>
      </c>
      <c r="AH269" s="609" t="e">
        <f>J269*'Don gia XCSDL DC'!#REF!</f>
        <v>#REF!</v>
      </c>
      <c r="AI269" s="609" t="e">
        <f>D269*'Don gia XCSDL DC'!#REF!</f>
        <v>#REF!</v>
      </c>
      <c r="AJ269" s="609">
        <f>S269*2*'Don gia XCSDL DC'!$K$24</f>
        <v>795136273.37870872</v>
      </c>
      <c r="AK269" s="609" t="e">
        <f>S269*3*'Don gia XCSDL DC'!#REF!</f>
        <v>#REF!</v>
      </c>
      <c r="AL269" s="609" t="e">
        <f>(S269*2+S269*3)*('Don gia XCSDL DC'!#REF!+'Don gia XCSDL DC'!#REF!+'Don gia XCSDL DC'!#REF!)</f>
        <v>#REF!</v>
      </c>
      <c r="AM269" s="609" t="e">
        <f>O269*'Don gia XCSDL DC'!#REF!*50%</f>
        <v>#REF!</v>
      </c>
      <c r="AN269" s="609" t="e">
        <f>T269*'Don gia XCSDL DC'!#REF!*$AN$8</f>
        <v>#REF!</v>
      </c>
      <c r="AO269" s="609" t="e">
        <f>U269*'Don gia XCSDL DC'!#REF!*1</f>
        <v>#REF!</v>
      </c>
      <c r="AP269" s="609" t="e">
        <f>P269*X269*'Don gia XCSDL DC'!#REF!</f>
        <v>#REF!</v>
      </c>
      <c r="AQ269" s="609" t="e">
        <f>Q269*$AQ$8*'Don gia XCSDL DC'!#REF!</f>
        <v>#REF!</v>
      </c>
      <c r="AR269" s="609" t="e">
        <f>M269*$AR$8*'Don gia XCSDL DC'!#REF!</f>
        <v>#REF!</v>
      </c>
      <c r="AS269" s="609" t="e">
        <f>J269*'Don gia XCSDL DC'!#REF!</f>
        <v>#REF!</v>
      </c>
      <c r="AT269" s="609">
        <f>D269*'Don gia XCSDL DC'!$K$26</f>
        <v>0</v>
      </c>
      <c r="AU269" s="609">
        <f>J269*'Don gia XCSDL DC'!$K$34</f>
        <v>0</v>
      </c>
      <c r="AV269" s="609">
        <f>O269*'Don gia XCSDL DC'!$K$37</f>
        <v>0</v>
      </c>
      <c r="AW269" s="610" t="e">
        <f t="shared" si="125"/>
        <v>#REF!</v>
      </c>
      <c r="AX269" s="611" t="e">
        <f t="shared" si="126"/>
        <v>#REF!</v>
      </c>
      <c r="AY269" s="806" t="e">
        <f t="shared" si="152"/>
        <v>#REF!</v>
      </c>
      <c r="AZ269" s="612" t="e">
        <f>D269*'Don gia XCSDL DC'!#REF!</f>
        <v>#REF!</v>
      </c>
      <c r="BA269" s="613" t="e">
        <f>(Q269+M269)*'Don gia XCSDL DC'!#REF!</f>
        <v>#REF!</v>
      </c>
    </row>
    <row r="270" spans="1:53" ht="24.75" customHeight="1">
      <c r="A270" s="599"/>
      <c r="B270" s="445">
        <v>9</v>
      </c>
      <c r="C270" s="445" t="s">
        <v>528</v>
      </c>
      <c r="D270" s="600">
        <v>11</v>
      </c>
      <c r="E270" s="561">
        <v>11</v>
      </c>
      <c r="F270" s="561">
        <v>1</v>
      </c>
      <c r="G270" s="602">
        <v>1</v>
      </c>
      <c r="H270" s="561"/>
      <c r="I270" s="561"/>
      <c r="J270" s="658">
        <v>112186</v>
      </c>
      <c r="K270" s="658">
        <v>112186</v>
      </c>
      <c r="L270" s="658">
        <v>112186</v>
      </c>
      <c r="M270" s="595">
        <f t="shared" si="153"/>
        <v>16827.899999999998</v>
      </c>
      <c r="N270" s="658">
        <v>110896</v>
      </c>
      <c r="O270" s="658">
        <v>105739</v>
      </c>
      <c r="P270" s="658">
        <f t="shared" si="146"/>
        <v>282</v>
      </c>
      <c r="Q270" s="658">
        <f t="shared" si="147"/>
        <v>5157</v>
      </c>
      <c r="R270" s="658"/>
      <c r="S270" s="658">
        <v>105458</v>
      </c>
      <c r="T270" s="621">
        <v>11219</v>
      </c>
      <c r="U270" s="665">
        <f t="shared" si="148"/>
        <v>94238</v>
      </c>
      <c r="V270" s="658">
        <f t="shared" si="149"/>
        <v>1</v>
      </c>
      <c r="W270" s="658"/>
      <c r="X270" s="607">
        <f t="shared" si="150"/>
        <v>0.19850447116867098</v>
      </c>
      <c r="Y270" s="608">
        <f t="shared" si="151"/>
        <v>1265496</v>
      </c>
      <c r="AA270" s="609">
        <f>D270*'Don gia XCSDL DC'!$K$8</f>
        <v>5073.8608224437694</v>
      </c>
      <c r="AB270" s="609">
        <f>D270*'Don gia XCSDL DC'!$K$9</f>
        <v>4841.0818474437701</v>
      </c>
      <c r="AC270" s="609" t="e">
        <f>D270*'Don gia XCSDL DC'!#REF!</f>
        <v>#REF!</v>
      </c>
      <c r="AD270" s="609">
        <f>D270*'Don gia XCSDL DC'!$K$10</f>
        <v>19493.713292198456</v>
      </c>
      <c r="AE270" s="609">
        <f>J270*'Don gia XCSDL DC'!$K$11</f>
        <v>0</v>
      </c>
      <c r="AF270" s="609" t="e">
        <f>S270*'Don gia XCSDL DC'!#REF!</f>
        <v>#REF!</v>
      </c>
      <c r="AG270" s="609" t="e">
        <f>D270*'Don gia XCSDL DC'!#REF!</f>
        <v>#REF!</v>
      </c>
      <c r="AH270" s="609" t="e">
        <f>J270*'Don gia XCSDL DC'!#REF!</f>
        <v>#REF!</v>
      </c>
      <c r="AI270" s="609" t="e">
        <f>D270*'Don gia XCSDL DC'!#REF!</f>
        <v>#REF!</v>
      </c>
      <c r="AJ270" s="609">
        <f>S270*2*'Don gia XCSDL DC'!$K$24</f>
        <v>1803455805.1869378</v>
      </c>
      <c r="AK270" s="609" t="e">
        <f>S270*3*'Don gia XCSDL DC'!#REF!</f>
        <v>#REF!</v>
      </c>
      <c r="AL270" s="609" t="e">
        <f>(S270*2+S270*3)*('Don gia XCSDL DC'!#REF!+'Don gia XCSDL DC'!#REF!+'Don gia XCSDL DC'!#REF!)</f>
        <v>#REF!</v>
      </c>
      <c r="AM270" s="609" t="e">
        <f>O270*'Don gia XCSDL DC'!#REF!*50%</f>
        <v>#REF!</v>
      </c>
      <c r="AN270" s="609" t="e">
        <f>T270*'Don gia XCSDL DC'!#REF!*$AN$8</f>
        <v>#REF!</v>
      </c>
      <c r="AO270" s="609" t="e">
        <f>U270*'Don gia XCSDL DC'!#REF!*1</f>
        <v>#REF!</v>
      </c>
      <c r="AP270" s="609" t="e">
        <f>P270*X270*'Don gia XCSDL DC'!#REF!</f>
        <v>#REF!</v>
      </c>
      <c r="AQ270" s="609" t="e">
        <f>Q270*$AQ$8*'Don gia XCSDL DC'!#REF!</f>
        <v>#REF!</v>
      </c>
      <c r="AR270" s="609" t="e">
        <f>M270*$AR$8*'Don gia XCSDL DC'!#REF!</f>
        <v>#REF!</v>
      </c>
      <c r="AS270" s="609" t="e">
        <f>J270*'Don gia XCSDL DC'!#REF!</f>
        <v>#REF!</v>
      </c>
      <c r="AT270" s="609">
        <f>D270*'Don gia XCSDL DC'!$K$26</f>
        <v>0</v>
      </c>
      <c r="AU270" s="609">
        <f>J270*'Don gia XCSDL DC'!$K$34</f>
        <v>0</v>
      </c>
      <c r="AV270" s="609">
        <f>O270*'Don gia XCSDL DC'!$K$37</f>
        <v>0</v>
      </c>
      <c r="AW270" s="610" t="e">
        <f t="shared" si="125"/>
        <v>#REF!</v>
      </c>
      <c r="AX270" s="611" t="e">
        <f t="shared" si="126"/>
        <v>#REF!</v>
      </c>
      <c r="AY270" s="806" t="e">
        <f t="shared" si="152"/>
        <v>#REF!</v>
      </c>
      <c r="AZ270" s="612" t="e">
        <f>D270*'Don gia XCSDL DC'!#REF!</f>
        <v>#REF!</v>
      </c>
      <c r="BA270" s="613" t="e">
        <f>(Q270+M270)*'Don gia XCSDL DC'!#REF!</f>
        <v>#REF!</v>
      </c>
    </row>
    <row r="271" spans="1:53" s="723" customFormat="1" ht="24.75" customHeight="1">
      <c r="A271" s="712"/>
      <c r="B271" s="713"/>
      <c r="C271" s="780" t="s">
        <v>529</v>
      </c>
      <c r="D271" s="781">
        <v>8</v>
      </c>
      <c r="E271" s="781">
        <v>8</v>
      </c>
      <c r="F271" s="781"/>
      <c r="G271" s="787">
        <v>1</v>
      </c>
      <c r="H271" s="780"/>
      <c r="I271" s="780"/>
      <c r="J271" s="775">
        <v>49890</v>
      </c>
      <c r="K271" s="778"/>
      <c r="L271" s="778"/>
      <c r="M271" s="777"/>
      <c r="N271" s="778"/>
      <c r="O271" s="778"/>
      <c r="P271" s="778"/>
      <c r="Q271" s="778"/>
      <c r="R271" s="778"/>
      <c r="S271" s="778"/>
      <c r="T271" s="730"/>
      <c r="U271" s="773"/>
      <c r="V271" s="778"/>
      <c r="W271" s="778"/>
      <c r="X271" s="721"/>
      <c r="Y271" s="722"/>
      <c r="AA271" s="609"/>
      <c r="AB271" s="609"/>
      <c r="AC271" s="609"/>
      <c r="AD271" s="724"/>
      <c r="AE271" s="724"/>
      <c r="AF271" s="724"/>
      <c r="AG271" s="724"/>
      <c r="AH271" s="724"/>
      <c r="AI271" s="724"/>
      <c r="AJ271" s="724"/>
      <c r="AK271" s="724"/>
      <c r="AL271" s="724"/>
      <c r="AM271" s="724"/>
      <c r="AN271" s="724"/>
      <c r="AO271" s="724"/>
      <c r="AP271" s="724"/>
      <c r="AQ271" s="724"/>
      <c r="AR271" s="724"/>
      <c r="AS271" s="724"/>
      <c r="AT271" s="724"/>
      <c r="AU271" s="724"/>
      <c r="AV271" s="609"/>
      <c r="AW271" s="610"/>
      <c r="AX271" s="611"/>
      <c r="AY271" s="807"/>
      <c r="AZ271" s="612"/>
      <c r="BA271" s="613"/>
    </row>
    <row r="272" spans="1:53" s="723" customFormat="1" ht="24.75" customHeight="1">
      <c r="A272" s="712"/>
      <c r="B272" s="713"/>
      <c r="C272" s="780" t="s">
        <v>530</v>
      </c>
      <c r="D272" s="781">
        <v>7</v>
      </c>
      <c r="E272" s="781">
        <v>7</v>
      </c>
      <c r="F272" s="781"/>
      <c r="G272" s="787">
        <v>1</v>
      </c>
      <c r="H272" s="780"/>
      <c r="I272" s="780"/>
      <c r="J272" s="775">
        <v>56109</v>
      </c>
      <c r="K272" s="778"/>
      <c r="L272" s="778"/>
      <c r="M272" s="777"/>
      <c r="N272" s="778"/>
      <c r="O272" s="778"/>
      <c r="P272" s="778"/>
      <c r="Q272" s="778"/>
      <c r="R272" s="778"/>
      <c r="S272" s="778"/>
      <c r="T272" s="730"/>
      <c r="U272" s="773"/>
      <c r="V272" s="778"/>
      <c r="W272" s="778"/>
      <c r="X272" s="721"/>
      <c r="Y272" s="722"/>
      <c r="AA272" s="609"/>
      <c r="AB272" s="609"/>
      <c r="AC272" s="609"/>
      <c r="AD272" s="724"/>
      <c r="AE272" s="724"/>
      <c r="AF272" s="724"/>
      <c r="AG272" s="724"/>
      <c r="AH272" s="724"/>
      <c r="AI272" s="724"/>
      <c r="AJ272" s="724"/>
      <c r="AK272" s="724"/>
      <c r="AL272" s="724"/>
      <c r="AM272" s="724"/>
      <c r="AN272" s="724"/>
      <c r="AO272" s="724"/>
      <c r="AP272" s="724"/>
      <c r="AQ272" s="724"/>
      <c r="AR272" s="724"/>
      <c r="AS272" s="724"/>
      <c r="AT272" s="724"/>
      <c r="AU272" s="724"/>
      <c r="AV272" s="609"/>
      <c r="AW272" s="610"/>
      <c r="AX272" s="611"/>
      <c r="AY272" s="807"/>
      <c r="AZ272" s="612"/>
      <c r="BA272" s="613"/>
    </row>
    <row r="273" spans="1:53" s="723" customFormat="1" ht="24.75" customHeight="1">
      <c r="A273" s="712"/>
      <c r="B273" s="713"/>
      <c r="C273" s="780" t="s">
        <v>531</v>
      </c>
      <c r="D273" s="781">
        <v>15</v>
      </c>
      <c r="E273" s="781">
        <v>15</v>
      </c>
      <c r="F273" s="781"/>
      <c r="G273" s="787">
        <v>1</v>
      </c>
      <c r="H273" s="780"/>
      <c r="I273" s="780"/>
      <c r="J273" s="778">
        <v>155497</v>
      </c>
      <c r="K273" s="778"/>
      <c r="L273" s="778"/>
      <c r="M273" s="777"/>
      <c r="N273" s="778"/>
      <c r="O273" s="778"/>
      <c r="P273" s="778"/>
      <c r="Q273" s="778"/>
      <c r="R273" s="778"/>
      <c r="S273" s="778"/>
      <c r="T273" s="730"/>
      <c r="U273" s="773"/>
      <c r="V273" s="778"/>
      <c r="W273" s="778"/>
      <c r="X273" s="721"/>
      <c r="Y273" s="722"/>
      <c r="AA273" s="609"/>
      <c r="AB273" s="609"/>
      <c r="AC273" s="609"/>
      <c r="AD273" s="724"/>
      <c r="AE273" s="724"/>
      <c r="AF273" s="724"/>
      <c r="AG273" s="724"/>
      <c r="AH273" s="724"/>
      <c r="AI273" s="724"/>
      <c r="AJ273" s="724"/>
      <c r="AK273" s="724"/>
      <c r="AL273" s="724"/>
      <c r="AM273" s="724"/>
      <c r="AN273" s="724"/>
      <c r="AO273" s="724"/>
      <c r="AP273" s="724"/>
      <c r="AQ273" s="724"/>
      <c r="AR273" s="724"/>
      <c r="AS273" s="724"/>
      <c r="AT273" s="724"/>
      <c r="AU273" s="724"/>
      <c r="AV273" s="609"/>
      <c r="AW273" s="610"/>
      <c r="AX273" s="611"/>
      <c r="AY273" s="807"/>
      <c r="AZ273" s="612"/>
      <c r="BA273" s="613"/>
    </row>
    <row r="274" spans="1:53" s="723" customFormat="1" ht="24.75" customHeight="1">
      <c r="A274" s="712"/>
      <c r="B274" s="713"/>
      <c r="C274" s="780" t="s">
        <v>532</v>
      </c>
      <c r="D274" s="781">
        <v>20</v>
      </c>
      <c r="E274" s="781">
        <v>20</v>
      </c>
      <c r="F274" s="781"/>
      <c r="G274" s="787">
        <v>1</v>
      </c>
      <c r="H274" s="780"/>
      <c r="I274" s="780"/>
      <c r="J274" s="778">
        <v>232449</v>
      </c>
      <c r="K274" s="778"/>
      <c r="L274" s="778"/>
      <c r="M274" s="777"/>
      <c r="N274" s="778"/>
      <c r="O274" s="778"/>
      <c r="P274" s="778"/>
      <c r="Q274" s="778"/>
      <c r="R274" s="778"/>
      <c r="S274" s="778"/>
      <c r="T274" s="730"/>
      <c r="U274" s="773"/>
      <c r="V274" s="778"/>
      <c r="W274" s="778"/>
      <c r="X274" s="721"/>
      <c r="Y274" s="722"/>
      <c r="AA274" s="609"/>
      <c r="AB274" s="609"/>
      <c r="AC274" s="609"/>
      <c r="AD274" s="724"/>
      <c r="AE274" s="724"/>
      <c r="AF274" s="724"/>
      <c r="AG274" s="724"/>
      <c r="AH274" s="724"/>
      <c r="AI274" s="724"/>
      <c r="AJ274" s="724"/>
      <c r="AK274" s="724"/>
      <c r="AL274" s="724"/>
      <c r="AM274" s="724"/>
      <c r="AN274" s="724"/>
      <c r="AO274" s="724"/>
      <c r="AP274" s="724"/>
      <c r="AQ274" s="724"/>
      <c r="AR274" s="724"/>
      <c r="AS274" s="724"/>
      <c r="AT274" s="724"/>
      <c r="AU274" s="724"/>
      <c r="AV274" s="609"/>
      <c r="AW274" s="610"/>
      <c r="AX274" s="611"/>
      <c r="AY274" s="807"/>
      <c r="AZ274" s="612"/>
      <c r="BA274" s="613"/>
    </row>
    <row r="275" spans="1:53" s="723" customFormat="1" ht="24.75" customHeight="1">
      <c r="A275" s="712"/>
      <c r="B275" s="713"/>
      <c r="C275" s="780" t="s">
        <v>516</v>
      </c>
      <c r="D275" s="781">
        <v>13</v>
      </c>
      <c r="E275" s="781">
        <v>13</v>
      </c>
      <c r="F275" s="781"/>
      <c r="G275" s="787">
        <v>1</v>
      </c>
      <c r="H275" s="780"/>
      <c r="I275" s="780"/>
      <c r="J275" s="778">
        <v>76826</v>
      </c>
      <c r="K275" s="778"/>
      <c r="L275" s="778"/>
      <c r="M275" s="777"/>
      <c r="N275" s="778"/>
      <c r="O275" s="778"/>
      <c r="P275" s="778"/>
      <c r="Q275" s="778"/>
      <c r="R275" s="778"/>
      <c r="S275" s="778"/>
      <c r="T275" s="730"/>
      <c r="U275" s="773"/>
      <c r="V275" s="778"/>
      <c r="W275" s="778"/>
      <c r="X275" s="721"/>
      <c r="Y275" s="722"/>
      <c r="AA275" s="609"/>
      <c r="AB275" s="609"/>
      <c r="AC275" s="609"/>
      <c r="AD275" s="724"/>
      <c r="AE275" s="724"/>
      <c r="AF275" s="724"/>
      <c r="AG275" s="724"/>
      <c r="AH275" s="724"/>
      <c r="AI275" s="724"/>
      <c r="AJ275" s="724"/>
      <c r="AK275" s="724"/>
      <c r="AL275" s="724"/>
      <c r="AM275" s="724"/>
      <c r="AN275" s="724"/>
      <c r="AO275" s="724"/>
      <c r="AP275" s="724"/>
      <c r="AQ275" s="724"/>
      <c r="AR275" s="724"/>
      <c r="AS275" s="724"/>
      <c r="AT275" s="724"/>
      <c r="AU275" s="724"/>
      <c r="AV275" s="609"/>
      <c r="AW275" s="610"/>
      <c r="AX275" s="611"/>
      <c r="AY275" s="807"/>
      <c r="AZ275" s="612"/>
      <c r="BA275" s="613"/>
    </row>
    <row r="276" spans="1:53" s="723" customFormat="1" ht="24.75" customHeight="1">
      <c r="A276" s="712"/>
      <c r="B276" s="713"/>
      <c r="C276" s="780" t="s">
        <v>533</v>
      </c>
      <c r="D276" s="781">
        <v>11</v>
      </c>
      <c r="E276" s="781">
        <v>11</v>
      </c>
      <c r="F276" s="781"/>
      <c r="G276" s="787">
        <v>1</v>
      </c>
      <c r="H276" s="780"/>
      <c r="I276" s="780"/>
      <c r="J276" s="778">
        <v>57231</v>
      </c>
      <c r="K276" s="778"/>
      <c r="L276" s="778"/>
      <c r="M276" s="777"/>
      <c r="N276" s="778"/>
      <c r="O276" s="778"/>
      <c r="P276" s="778"/>
      <c r="Q276" s="778"/>
      <c r="R276" s="778"/>
      <c r="S276" s="778"/>
      <c r="T276" s="730"/>
      <c r="U276" s="773"/>
      <c r="V276" s="778"/>
      <c r="W276" s="778"/>
      <c r="X276" s="721"/>
      <c r="Y276" s="722"/>
      <c r="AA276" s="609"/>
      <c r="AB276" s="609"/>
      <c r="AC276" s="609"/>
      <c r="AD276" s="724"/>
      <c r="AE276" s="724"/>
      <c r="AF276" s="724"/>
      <c r="AG276" s="724"/>
      <c r="AH276" s="724"/>
      <c r="AI276" s="724"/>
      <c r="AJ276" s="724"/>
      <c r="AK276" s="724"/>
      <c r="AL276" s="724"/>
      <c r="AM276" s="724"/>
      <c r="AN276" s="724"/>
      <c r="AO276" s="724"/>
      <c r="AP276" s="724"/>
      <c r="AQ276" s="724"/>
      <c r="AR276" s="724"/>
      <c r="AS276" s="724"/>
      <c r="AT276" s="724"/>
      <c r="AU276" s="724"/>
      <c r="AV276" s="609"/>
      <c r="AW276" s="610"/>
      <c r="AX276" s="611"/>
      <c r="AY276" s="807"/>
      <c r="AZ276" s="612"/>
      <c r="BA276" s="613"/>
    </row>
    <row r="277" spans="1:53" s="598" customFormat="1" ht="24.75" customHeight="1">
      <c r="A277" s="589">
        <v>3</v>
      </c>
      <c r="B277" s="1945" t="s">
        <v>534</v>
      </c>
      <c r="C277" s="1945"/>
      <c r="D277" s="594"/>
      <c r="E277" s="595">
        <f>SUM(E278:E280)</f>
        <v>42</v>
      </c>
      <c r="F277" s="595">
        <f>SUM(F278:F280)</f>
        <v>3</v>
      </c>
      <c r="G277" s="596">
        <f>SUM(G278:G288)</f>
        <v>11</v>
      </c>
      <c r="H277" s="595">
        <v>11</v>
      </c>
      <c r="I277" s="595"/>
      <c r="J277" s="595">
        <f t="shared" ref="J277:Q277" si="154">SUM(J278:J280)</f>
        <v>222921.04079999999</v>
      </c>
      <c r="K277" s="595">
        <f t="shared" si="154"/>
        <v>371535.06799999997</v>
      </c>
      <c r="L277" s="595">
        <f t="shared" si="154"/>
        <v>185767.53399999999</v>
      </c>
      <c r="M277" s="595">
        <f t="shared" si="154"/>
        <v>11146.052040000002</v>
      </c>
      <c r="N277" s="595">
        <f t="shared" si="154"/>
        <v>211774.98875999998</v>
      </c>
      <c r="O277" s="595">
        <f t="shared" si="154"/>
        <v>204998.18911968</v>
      </c>
      <c r="P277" s="595">
        <f t="shared" si="154"/>
        <v>89196.451024441893</v>
      </c>
      <c r="Q277" s="595">
        <f t="shared" si="154"/>
        <v>6776.7996403200013</v>
      </c>
      <c r="R277" s="595"/>
      <c r="S277" s="595">
        <f>SUM(S278:S280)</f>
        <v>140395.61538461538</v>
      </c>
      <c r="T277" s="595">
        <f>SUM(T278:T280)</f>
        <v>7019.7807692307688</v>
      </c>
      <c r="U277" s="595">
        <f>SUM(U278:U280)</f>
        <v>108781.95732600732</v>
      </c>
      <c r="V277" s="595">
        <f>SUM(V278:V280)</f>
        <v>24593.877289377277</v>
      </c>
      <c r="W277" s="597">
        <v>0.96799999999999997</v>
      </c>
      <c r="X277" s="607"/>
      <c r="Y277" s="595">
        <f>SUM(Y278:Y280)</f>
        <v>1684747.3846153845</v>
      </c>
      <c r="AA277" s="609"/>
      <c r="AB277" s="609"/>
      <c r="AC277" s="609"/>
      <c r="AD277" s="609"/>
      <c r="AE277" s="609"/>
      <c r="AF277" s="609"/>
      <c r="AG277" s="609"/>
      <c r="AH277" s="609"/>
      <c r="AI277" s="609"/>
      <c r="AJ277" s="609"/>
      <c r="AK277" s="609"/>
      <c r="AL277" s="609"/>
      <c r="AM277" s="609"/>
      <c r="AN277" s="609"/>
      <c r="AO277" s="609"/>
      <c r="AP277" s="609"/>
      <c r="AQ277" s="609"/>
      <c r="AR277" s="609"/>
      <c r="AS277" s="609"/>
      <c r="AT277" s="609"/>
      <c r="AU277" s="609"/>
      <c r="AV277" s="609"/>
      <c r="AW277" s="610"/>
      <c r="AX277" s="611"/>
      <c r="AY277" s="806"/>
      <c r="AZ277" s="612"/>
      <c r="BA277" s="613"/>
    </row>
    <row r="278" spans="1:53" ht="24.75" customHeight="1">
      <c r="A278" s="599"/>
      <c r="B278" s="445">
        <v>1</v>
      </c>
      <c r="C278" s="445" t="s">
        <v>516</v>
      </c>
      <c r="D278" s="600">
        <v>23</v>
      </c>
      <c r="E278" s="561">
        <v>23</v>
      </c>
      <c r="F278" s="561">
        <v>1</v>
      </c>
      <c r="G278" s="602">
        <v>1</v>
      </c>
      <c r="H278" s="561"/>
      <c r="I278" s="561"/>
      <c r="J278" s="694">
        <f>109743.534*1.2</f>
        <v>131692.2408</v>
      </c>
      <c r="K278" s="658">
        <f>2*109743.534</f>
        <v>219487.068</v>
      </c>
      <c r="L278" s="658">
        <v>109743.534</v>
      </c>
      <c r="M278" s="595">
        <f>J278*5%</f>
        <v>6584.61204</v>
      </c>
      <c r="N278" s="658">
        <f>J278-M278</f>
        <v>125107.62875999999</v>
      </c>
      <c r="O278" s="658">
        <f>$N278*$W$277</f>
        <v>121104.18463968</v>
      </c>
      <c r="P278" s="658">
        <f>O278-T278-U278</f>
        <v>46987.613211108561</v>
      </c>
      <c r="Q278" s="658">
        <f>N278-O278</f>
        <v>4003.4441203199967</v>
      </c>
      <c r="R278" s="658"/>
      <c r="S278" s="658">
        <v>84886.615384615376</v>
      </c>
      <c r="T278" s="621">
        <f>S278*0.05</f>
        <v>4244.330769230769</v>
      </c>
      <c r="U278" s="665">
        <f>259408/3.5-T278</f>
        <v>69872.240659340663</v>
      </c>
      <c r="V278" s="658">
        <f>S278-T278-U278</f>
        <v>10770.043956043941</v>
      </c>
      <c r="W278" s="658"/>
      <c r="X278" s="607">
        <f t="shared" si="150"/>
        <v>0.3800169639266141</v>
      </c>
      <c r="Y278" s="608">
        <f>S278*12</f>
        <v>1018639.3846153845</v>
      </c>
      <c r="AA278" s="609">
        <f>D278*'Don gia XCSDL DC'!$K$8</f>
        <v>10608.981719655154</v>
      </c>
      <c r="AB278" s="609">
        <f>D278*'Don gia XCSDL DC'!$K$9</f>
        <v>10122.262044655155</v>
      </c>
      <c r="AC278" s="609" t="e">
        <f>D278*'Don gia XCSDL DC'!#REF!</f>
        <v>#REF!</v>
      </c>
      <c r="AD278" s="609">
        <f>D278*'Don gia XCSDL DC'!$K$10</f>
        <v>40759.582338233136</v>
      </c>
      <c r="AE278" s="609">
        <f>J278*'Don gia XCSDL DC'!$K$11</f>
        <v>0</v>
      </c>
      <c r="AF278" s="609" t="e">
        <f>S278*'Don gia XCSDL DC'!#REF!</f>
        <v>#REF!</v>
      </c>
      <c r="AG278" s="609" t="e">
        <f>D278*'Don gia XCSDL DC'!#REF!</f>
        <v>#REF!</v>
      </c>
      <c r="AH278" s="609" t="e">
        <f>J278*'Don gia XCSDL DC'!#REF!</f>
        <v>#REF!</v>
      </c>
      <c r="AI278" s="609" t="e">
        <f>D278*'Don gia XCSDL DC'!#REF!</f>
        <v>#REF!</v>
      </c>
      <c r="AJ278" s="609">
        <f>S278*2*'Don gia XCSDL DC'!$K$24</f>
        <v>1451660938.9335604</v>
      </c>
      <c r="AK278" s="609" t="e">
        <f>S278*3*'Don gia XCSDL DC'!#REF!</f>
        <v>#REF!</v>
      </c>
      <c r="AL278" s="609" t="e">
        <f>(S278*2+S278*3)*('Don gia XCSDL DC'!#REF!+'Don gia XCSDL DC'!#REF!+'Don gia XCSDL DC'!#REF!)</f>
        <v>#REF!</v>
      </c>
      <c r="AM278" s="609" t="e">
        <f>O278*'Don gia XCSDL DC'!#REF!*50%</f>
        <v>#REF!</v>
      </c>
      <c r="AN278" s="609" t="e">
        <f>T278*'Don gia XCSDL DC'!#REF!*$AN$8</f>
        <v>#REF!</v>
      </c>
      <c r="AO278" s="609" t="e">
        <f>U278*'Don gia XCSDL DC'!#REF!*1</f>
        <v>#REF!</v>
      </c>
      <c r="AP278" s="609" t="e">
        <f>P278*X278*'Don gia XCSDL DC'!#REF!</f>
        <v>#REF!</v>
      </c>
      <c r="AQ278" s="609" t="e">
        <f>Q278*$AQ$8*'Don gia XCSDL DC'!#REF!</f>
        <v>#REF!</v>
      </c>
      <c r="AR278" s="609" t="e">
        <f>M278*$AR$8*'Don gia XCSDL DC'!#REF!</f>
        <v>#REF!</v>
      </c>
      <c r="AS278" s="609" t="e">
        <f>J278*'Don gia XCSDL DC'!#REF!</f>
        <v>#REF!</v>
      </c>
      <c r="AT278" s="609">
        <f>D278*'Don gia XCSDL DC'!$K$26</f>
        <v>0</v>
      </c>
      <c r="AU278" s="609">
        <f>J278*'Don gia XCSDL DC'!$K$34</f>
        <v>0</v>
      </c>
      <c r="AV278" s="609">
        <f>O278*'Don gia XCSDL DC'!$K$37</f>
        <v>0</v>
      </c>
      <c r="AW278" s="610" t="e">
        <f t="shared" ref="AW278:AW334" si="155">SUM(AA278:AV278)</f>
        <v>#REF!</v>
      </c>
      <c r="AX278" s="611" t="e">
        <f t="shared" ref="AX278:AX334" si="156">AC278+AD278+AV278+AZ278+BA278</f>
        <v>#REF!</v>
      </c>
      <c r="AY278" s="806" t="e">
        <f t="shared" si="152"/>
        <v>#REF!</v>
      </c>
      <c r="AZ278" s="612" t="e">
        <f>D278*'Don gia XCSDL DC'!#REF!</f>
        <v>#REF!</v>
      </c>
      <c r="BA278" s="613" t="e">
        <f>(Q278+M278)*'Don gia XCSDL DC'!#REF!</f>
        <v>#REF!</v>
      </c>
    </row>
    <row r="279" spans="1:53" ht="24.75" customHeight="1">
      <c r="A279" s="599"/>
      <c r="B279" s="445">
        <v>2</v>
      </c>
      <c r="C279" s="445" t="s">
        <v>535</v>
      </c>
      <c r="D279" s="600">
        <v>13</v>
      </c>
      <c r="E279" s="561">
        <v>13</v>
      </c>
      <c r="F279" s="561">
        <v>1</v>
      </c>
      <c r="G279" s="602">
        <v>1</v>
      </c>
      <c r="H279" s="561"/>
      <c r="I279" s="561"/>
      <c r="J279" s="694">
        <f>44562*1.2</f>
        <v>53474.400000000001</v>
      </c>
      <c r="K279" s="658">
        <f>2*44562</f>
        <v>89124</v>
      </c>
      <c r="L279" s="658">
        <v>44562</v>
      </c>
      <c r="M279" s="595">
        <f>J279*5%</f>
        <v>2673.7200000000003</v>
      </c>
      <c r="N279" s="658">
        <f>J279-M279</f>
        <v>50800.68</v>
      </c>
      <c r="O279" s="658">
        <f>$N279*$W$277</f>
        <v>49175.058239999998</v>
      </c>
      <c r="P279" s="658">
        <f>O279-T279-U279</f>
        <v>20966.558239999998</v>
      </c>
      <c r="Q279" s="658">
        <f>N279-O279</f>
        <v>1625.6217600000018</v>
      </c>
      <c r="R279" s="658"/>
      <c r="S279" s="658">
        <v>35145</v>
      </c>
      <c r="T279" s="621">
        <f>S279*0.05</f>
        <v>1757.25</v>
      </c>
      <c r="U279" s="665">
        <f>56417/2-T279</f>
        <v>26451.25</v>
      </c>
      <c r="V279" s="658">
        <f>S279-T279-U279</f>
        <v>6936.5</v>
      </c>
      <c r="W279" s="658"/>
      <c r="X279" s="607">
        <f t="shared" si="150"/>
        <v>0.46175968816437507</v>
      </c>
      <c r="Y279" s="608">
        <f>S279*12</f>
        <v>421740</v>
      </c>
      <c r="AA279" s="609">
        <f>D279*'Don gia XCSDL DC'!$K$8</f>
        <v>5996.3809719789997</v>
      </c>
      <c r="AB279" s="609">
        <f>D279*'Don gia XCSDL DC'!$K$9</f>
        <v>5721.2785469790006</v>
      </c>
      <c r="AC279" s="609" t="e">
        <f>D279*'Don gia XCSDL DC'!#REF!</f>
        <v>#REF!</v>
      </c>
      <c r="AD279" s="609">
        <f>D279*'Don gia XCSDL DC'!$K$10</f>
        <v>23038.024799870902</v>
      </c>
      <c r="AE279" s="609">
        <f>J279*'Don gia XCSDL DC'!$K$11</f>
        <v>0</v>
      </c>
      <c r="AF279" s="609" t="e">
        <f>S279*'Don gia XCSDL DC'!#REF!</f>
        <v>#REF!</v>
      </c>
      <c r="AG279" s="609" t="e">
        <f>D279*'Don gia XCSDL DC'!#REF!</f>
        <v>#REF!</v>
      </c>
      <c r="AH279" s="609" t="e">
        <f>J279*'Don gia XCSDL DC'!#REF!</f>
        <v>#REF!</v>
      </c>
      <c r="AI279" s="609" t="e">
        <f>D279*'Don gia XCSDL DC'!#REF!</f>
        <v>#REF!</v>
      </c>
      <c r="AJ279" s="609">
        <f>S279*2*'Don gia XCSDL DC'!$K$24</f>
        <v>601020826.0472883</v>
      </c>
      <c r="AK279" s="609" t="e">
        <f>S279*3*'Don gia XCSDL DC'!#REF!</f>
        <v>#REF!</v>
      </c>
      <c r="AL279" s="609" t="e">
        <f>(S279*2+S279*3)*('Don gia XCSDL DC'!#REF!+'Don gia XCSDL DC'!#REF!+'Don gia XCSDL DC'!#REF!)</f>
        <v>#REF!</v>
      </c>
      <c r="AM279" s="609" t="e">
        <f>O279*'Don gia XCSDL DC'!#REF!*50%</f>
        <v>#REF!</v>
      </c>
      <c r="AN279" s="609" t="e">
        <f>T279*'Don gia XCSDL DC'!#REF!*$AN$8</f>
        <v>#REF!</v>
      </c>
      <c r="AO279" s="609" t="e">
        <f>U279*'Don gia XCSDL DC'!#REF!*1</f>
        <v>#REF!</v>
      </c>
      <c r="AP279" s="609" t="e">
        <f>P279*X279*'Don gia XCSDL DC'!#REF!</f>
        <v>#REF!</v>
      </c>
      <c r="AQ279" s="609" t="e">
        <f>Q279*$AQ$8*'Don gia XCSDL DC'!#REF!</f>
        <v>#REF!</v>
      </c>
      <c r="AR279" s="609" t="e">
        <f>M279*$AR$8*'Don gia XCSDL DC'!#REF!</f>
        <v>#REF!</v>
      </c>
      <c r="AS279" s="609" t="e">
        <f>J279*'Don gia XCSDL DC'!#REF!</f>
        <v>#REF!</v>
      </c>
      <c r="AT279" s="609">
        <f>D279*'Don gia XCSDL DC'!$K$26</f>
        <v>0</v>
      </c>
      <c r="AU279" s="609">
        <f>J279*'Don gia XCSDL DC'!$K$34</f>
        <v>0</v>
      </c>
      <c r="AV279" s="609">
        <f>O279*'Don gia XCSDL DC'!$K$37</f>
        <v>0</v>
      </c>
      <c r="AW279" s="610" t="e">
        <f t="shared" si="155"/>
        <v>#REF!</v>
      </c>
      <c r="AX279" s="611" t="e">
        <f t="shared" si="156"/>
        <v>#REF!</v>
      </c>
      <c r="AY279" s="806" t="e">
        <f t="shared" si="152"/>
        <v>#REF!</v>
      </c>
      <c r="AZ279" s="612" t="e">
        <f>D279*'Don gia XCSDL DC'!#REF!</f>
        <v>#REF!</v>
      </c>
      <c r="BA279" s="613" t="e">
        <f>(Q279+M279)*'Don gia XCSDL DC'!#REF!</f>
        <v>#REF!</v>
      </c>
    </row>
    <row r="280" spans="1:53" ht="27" customHeight="1">
      <c r="A280" s="599"/>
      <c r="B280" s="445">
        <v>3</v>
      </c>
      <c r="C280" s="445" t="s">
        <v>536</v>
      </c>
      <c r="D280" s="600">
        <v>6</v>
      </c>
      <c r="E280" s="561">
        <v>6</v>
      </c>
      <c r="F280" s="561">
        <v>1</v>
      </c>
      <c r="G280" s="602">
        <v>1</v>
      </c>
      <c r="H280" s="561"/>
      <c r="I280" s="561"/>
      <c r="J280" s="694">
        <f>31462*1.2</f>
        <v>37754.400000000001</v>
      </c>
      <c r="K280" s="658">
        <f>2*31462</f>
        <v>62924</v>
      </c>
      <c r="L280" s="658">
        <v>31462</v>
      </c>
      <c r="M280" s="595">
        <f>J280*5%</f>
        <v>1887.7200000000003</v>
      </c>
      <c r="N280" s="658">
        <f>J280-M280</f>
        <v>35866.68</v>
      </c>
      <c r="O280" s="658">
        <f>$N280*$W$277</f>
        <v>34718.946239999997</v>
      </c>
      <c r="P280" s="658">
        <f>O280-T280-U280</f>
        <v>21242.279573333333</v>
      </c>
      <c r="Q280" s="658">
        <f>N280-O280</f>
        <v>1147.7337600000028</v>
      </c>
      <c r="R280" s="658"/>
      <c r="S280" s="658">
        <v>20364</v>
      </c>
      <c r="T280" s="621">
        <f>S280*0.05</f>
        <v>1018.2</v>
      </c>
      <c r="U280" s="665">
        <f>40430/3-T280</f>
        <v>12458.466666666665</v>
      </c>
      <c r="V280" s="658">
        <f>S280-T280-U280</f>
        <v>6887.3333333333339</v>
      </c>
      <c r="W280" s="658"/>
      <c r="X280" s="607">
        <f t="shared" si="150"/>
        <v>0.4564439394614711</v>
      </c>
      <c r="Y280" s="608">
        <f>S280*12</f>
        <v>244368</v>
      </c>
      <c r="AA280" s="609">
        <f>D280*'Don gia XCSDL DC'!$K$8</f>
        <v>2767.5604486056923</v>
      </c>
      <c r="AB280" s="609">
        <f>D280*'Don gia XCSDL DC'!$K$9</f>
        <v>2640.5900986056927</v>
      </c>
      <c r="AC280" s="609" t="e">
        <f>D280*'Don gia XCSDL DC'!#REF!</f>
        <v>#REF!</v>
      </c>
      <c r="AD280" s="609">
        <f>D280*'Don gia XCSDL DC'!$K$10</f>
        <v>10632.93452301734</v>
      </c>
      <c r="AE280" s="609">
        <f>J280*'Don gia XCSDL DC'!$K$11</f>
        <v>0</v>
      </c>
      <c r="AF280" s="609" t="e">
        <f>S280*'Don gia XCSDL DC'!#REF!</f>
        <v>#REF!</v>
      </c>
      <c r="AG280" s="609" t="e">
        <f>D280*'Don gia XCSDL DC'!#REF!</f>
        <v>#REF!</v>
      </c>
      <c r="AH280" s="609" t="e">
        <f>J280*'Don gia XCSDL DC'!#REF!</f>
        <v>#REF!</v>
      </c>
      <c r="AI280" s="609" t="e">
        <f>D280*'Don gia XCSDL DC'!#REF!</f>
        <v>#REF!</v>
      </c>
      <c r="AJ280" s="609">
        <f>S280*2*'Don gia XCSDL DC'!$K$24</f>
        <v>348248345.47238523</v>
      </c>
      <c r="AK280" s="609" t="e">
        <f>S280*3*'Don gia XCSDL DC'!#REF!</f>
        <v>#REF!</v>
      </c>
      <c r="AL280" s="609" t="e">
        <f>(S280*2+S280*3)*('Don gia XCSDL DC'!#REF!+'Don gia XCSDL DC'!#REF!+'Don gia XCSDL DC'!#REF!)</f>
        <v>#REF!</v>
      </c>
      <c r="AM280" s="609" t="e">
        <f>O280*'Don gia XCSDL DC'!#REF!*50%</f>
        <v>#REF!</v>
      </c>
      <c r="AN280" s="609" t="e">
        <f>T280*'Don gia XCSDL DC'!#REF!*$AN$8</f>
        <v>#REF!</v>
      </c>
      <c r="AO280" s="609" t="e">
        <f>U280*'Don gia XCSDL DC'!#REF!*1</f>
        <v>#REF!</v>
      </c>
      <c r="AP280" s="609" t="e">
        <f>P280*X280*'Don gia XCSDL DC'!#REF!</f>
        <v>#REF!</v>
      </c>
      <c r="AQ280" s="609" t="e">
        <f>Q280*$AQ$8*'Don gia XCSDL DC'!#REF!</f>
        <v>#REF!</v>
      </c>
      <c r="AR280" s="609" t="e">
        <f>M280*$AR$8*'Don gia XCSDL DC'!#REF!</f>
        <v>#REF!</v>
      </c>
      <c r="AS280" s="609" t="e">
        <f>J280*'Don gia XCSDL DC'!#REF!</f>
        <v>#REF!</v>
      </c>
      <c r="AT280" s="609">
        <f>D280*'Don gia XCSDL DC'!$K$26</f>
        <v>0</v>
      </c>
      <c r="AU280" s="609">
        <f>J280*'Don gia XCSDL DC'!$K$34</f>
        <v>0</v>
      </c>
      <c r="AV280" s="609">
        <f>O280*'Don gia XCSDL DC'!$K$37</f>
        <v>0</v>
      </c>
      <c r="AW280" s="610" t="e">
        <f t="shared" si="155"/>
        <v>#REF!</v>
      </c>
      <c r="AX280" s="611" t="e">
        <f t="shared" si="156"/>
        <v>#REF!</v>
      </c>
      <c r="AY280" s="806" t="e">
        <f t="shared" si="152"/>
        <v>#REF!</v>
      </c>
      <c r="AZ280" s="612" t="e">
        <f>D280*'Don gia XCSDL DC'!#REF!</f>
        <v>#REF!</v>
      </c>
      <c r="BA280" s="613" t="e">
        <f>(Q280+M280)*'Don gia XCSDL DC'!#REF!</f>
        <v>#REF!</v>
      </c>
    </row>
    <row r="281" spans="1:53" s="723" customFormat="1" ht="27" customHeight="1">
      <c r="A281" s="712"/>
      <c r="B281" s="713"/>
      <c r="C281" s="780" t="s">
        <v>537</v>
      </c>
      <c r="D281" s="781">
        <v>17</v>
      </c>
      <c r="E281" s="788">
        <v>17</v>
      </c>
      <c r="F281" s="775"/>
      <c r="G281" s="775">
        <v>1</v>
      </c>
      <c r="H281" s="775"/>
      <c r="I281" s="775"/>
      <c r="J281" s="778">
        <v>9524</v>
      </c>
      <c r="K281" s="716"/>
      <c r="L281" s="756">
        <v>9524</v>
      </c>
      <c r="M281" s="777"/>
      <c r="N281" s="778"/>
      <c r="O281" s="778"/>
      <c r="P281" s="778"/>
      <c r="Q281" s="778"/>
      <c r="R281" s="778"/>
      <c r="S281" s="778"/>
      <c r="T281" s="778"/>
      <c r="U281" s="730"/>
      <c r="V281" s="778"/>
      <c r="W281" s="778"/>
      <c r="X281" s="721"/>
      <c r="Y281" s="722"/>
      <c r="AA281" s="609"/>
      <c r="AB281" s="609"/>
      <c r="AC281" s="609"/>
      <c r="AD281" s="724"/>
      <c r="AE281" s="724"/>
      <c r="AF281" s="724"/>
      <c r="AG281" s="724"/>
      <c r="AH281" s="724"/>
      <c r="AI281" s="724"/>
      <c r="AJ281" s="724"/>
      <c r="AK281" s="724"/>
      <c r="AL281" s="724"/>
      <c r="AM281" s="724"/>
      <c r="AN281" s="724"/>
      <c r="AO281" s="724"/>
      <c r="AP281" s="724"/>
      <c r="AQ281" s="724"/>
      <c r="AR281" s="724"/>
      <c r="AS281" s="724"/>
      <c r="AT281" s="724"/>
      <c r="AU281" s="724"/>
      <c r="AV281" s="609"/>
      <c r="AW281" s="610"/>
      <c r="AX281" s="611"/>
      <c r="AY281" s="807"/>
      <c r="AZ281" s="612"/>
      <c r="BA281" s="613"/>
    </row>
    <row r="282" spans="1:53" s="723" customFormat="1" ht="27" customHeight="1">
      <c r="A282" s="712"/>
      <c r="B282" s="713"/>
      <c r="C282" s="780" t="s">
        <v>538</v>
      </c>
      <c r="D282" s="781">
        <v>12</v>
      </c>
      <c r="E282" s="788">
        <v>12</v>
      </c>
      <c r="F282" s="775"/>
      <c r="G282" s="775">
        <v>1</v>
      </c>
      <c r="H282" s="775"/>
      <c r="I282" s="775"/>
      <c r="J282" s="778">
        <v>42752</v>
      </c>
      <c r="K282" s="716"/>
      <c r="L282" s="756">
        <v>42752</v>
      </c>
      <c r="M282" s="777"/>
      <c r="N282" s="778"/>
      <c r="O282" s="778"/>
      <c r="P282" s="778"/>
      <c r="Q282" s="778"/>
      <c r="R282" s="778"/>
      <c r="S282" s="778"/>
      <c r="T282" s="778"/>
      <c r="U282" s="773"/>
      <c r="V282" s="778"/>
      <c r="W282" s="778"/>
      <c r="X282" s="721"/>
      <c r="Y282" s="722"/>
      <c r="AA282" s="609"/>
      <c r="AB282" s="609"/>
      <c r="AC282" s="609"/>
      <c r="AD282" s="724"/>
      <c r="AE282" s="724"/>
      <c r="AF282" s="724"/>
      <c r="AG282" s="724"/>
      <c r="AH282" s="724"/>
      <c r="AI282" s="724"/>
      <c r="AJ282" s="724"/>
      <c r="AK282" s="724"/>
      <c r="AL282" s="724"/>
      <c r="AM282" s="724"/>
      <c r="AN282" s="724"/>
      <c r="AO282" s="724"/>
      <c r="AP282" s="724"/>
      <c r="AQ282" s="724"/>
      <c r="AR282" s="724"/>
      <c r="AS282" s="724"/>
      <c r="AT282" s="724"/>
      <c r="AU282" s="724"/>
      <c r="AV282" s="609"/>
      <c r="AW282" s="610"/>
      <c r="AX282" s="611"/>
      <c r="AY282" s="807"/>
      <c r="AZ282" s="612"/>
      <c r="BA282" s="613"/>
    </row>
    <row r="283" spans="1:53" s="723" customFormat="1" ht="27" customHeight="1">
      <c r="A283" s="712"/>
      <c r="B283" s="713"/>
      <c r="C283" s="780" t="s">
        <v>539</v>
      </c>
      <c r="D283" s="781">
        <v>16</v>
      </c>
      <c r="E283" s="788">
        <v>16</v>
      </c>
      <c r="F283" s="775"/>
      <c r="G283" s="775">
        <v>1</v>
      </c>
      <c r="H283" s="775"/>
      <c r="I283" s="775"/>
      <c r="J283" s="778">
        <v>33411.744680851065</v>
      </c>
      <c r="K283" s="716"/>
      <c r="L283" s="756">
        <v>33411.744680851065</v>
      </c>
      <c r="M283" s="777"/>
      <c r="N283" s="778"/>
      <c r="O283" s="778"/>
      <c r="P283" s="778"/>
      <c r="Q283" s="778"/>
      <c r="R283" s="778"/>
      <c r="S283" s="778"/>
      <c r="T283" s="778"/>
      <c r="U283" s="730"/>
      <c r="V283" s="778"/>
      <c r="W283" s="778"/>
      <c r="X283" s="721"/>
      <c r="Y283" s="722"/>
      <c r="AA283" s="609"/>
      <c r="AB283" s="609"/>
      <c r="AC283" s="609"/>
      <c r="AD283" s="724"/>
      <c r="AE283" s="724"/>
      <c r="AF283" s="724"/>
      <c r="AG283" s="724"/>
      <c r="AH283" s="724"/>
      <c r="AI283" s="724"/>
      <c r="AJ283" s="724"/>
      <c r="AK283" s="724"/>
      <c r="AL283" s="724"/>
      <c r="AM283" s="724"/>
      <c r="AN283" s="724"/>
      <c r="AO283" s="724"/>
      <c r="AP283" s="724"/>
      <c r="AQ283" s="724"/>
      <c r="AR283" s="724"/>
      <c r="AS283" s="724"/>
      <c r="AT283" s="724"/>
      <c r="AU283" s="724"/>
      <c r="AV283" s="609"/>
      <c r="AW283" s="610"/>
      <c r="AX283" s="611"/>
      <c r="AY283" s="807"/>
      <c r="AZ283" s="612"/>
      <c r="BA283" s="613"/>
    </row>
    <row r="284" spans="1:53" s="723" customFormat="1" ht="27" customHeight="1">
      <c r="A284" s="712"/>
      <c r="B284" s="713"/>
      <c r="C284" s="780" t="s">
        <v>540</v>
      </c>
      <c r="D284" s="781">
        <v>25</v>
      </c>
      <c r="E284" s="788">
        <v>25</v>
      </c>
      <c r="F284" s="775"/>
      <c r="G284" s="775">
        <v>1</v>
      </c>
      <c r="H284" s="775"/>
      <c r="I284" s="775"/>
      <c r="J284" s="778">
        <v>129007</v>
      </c>
      <c r="K284" s="716"/>
      <c r="L284" s="756">
        <v>129007</v>
      </c>
      <c r="M284" s="777"/>
      <c r="N284" s="778"/>
      <c r="O284" s="778"/>
      <c r="P284" s="778"/>
      <c r="Q284" s="778"/>
      <c r="R284" s="778"/>
      <c r="S284" s="778"/>
      <c r="T284" s="778"/>
      <c r="U284" s="730"/>
      <c r="V284" s="778"/>
      <c r="W284" s="778"/>
      <c r="X284" s="721"/>
      <c r="Y284" s="722"/>
      <c r="AA284" s="609"/>
      <c r="AB284" s="609"/>
      <c r="AC284" s="609"/>
      <c r="AD284" s="724"/>
      <c r="AE284" s="724"/>
      <c r="AF284" s="724"/>
      <c r="AG284" s="724"/>
      <c r="AH284" s="724"/>
      <c r="AI284" s="724"/>
      <c r="AJ284" s="724"/>
      <c r="AK284" s="724"/>
      <c r="AL284" s="724"/>
      <c r="AM284" s="724"/>
      <c r="AN284" s="724"/>
      <c r="AO284" s="724"/>
      <c r="AP284" s="724"/>
      <c r="AQ284" s="724"/>
      <c r="AR284" s="724"/>
      <c r="AS284" s="724"/>
      <c r="AT284" s="724"/>
      <c r="AU284" s="724"/>
      <c r="AV284" s="609"/>
      <c r="AW284" s="610"/>
      <c r="AX284" s="611"/>
      <c r="AY284" s="807"/>
      <c r="AZ284" s="612"/>
      <c r="BA284" s="613"/>
    </row>
    <row r="285" spans="1:53" s="723" customFormat="1" ht="27" customHeight="1">
      <c r="A285" s="712"/>
      <c r="B285" s="713"/>
      <c r="C285" s="780" t="s">
        <v>541</v>
      </c>
      <c r="D285" s="781">
        <v>16</v>
      </c>
      <c r="E285" s="788">
        <v>16</v>
      </c>
      <c r="F285" s="775"/>
      <c r="G285" s="775">
        <v>1</v>
      </c>
      <c r="H285" s="775"/>
      <c r="I285" s="775"/>
      <c r="J285" s="778">
        <v>70641.9744680851</v>
      </c>
      <c r="K285" s="716"/>
      <c r="L285" s="756">
        <v>70641.9744680851</v>
      </c>
      <c r="M285" s="777"/>
      <c r="N285" s="778"/>
      <c r="O285" s="778"/>
      <c r="P285" s="778"/>
      <c r="Q285" s="778"/>
      <c r="R285" s="778"/>
      <c r="S285" s="778"/>
      <c r="T285" s="778"/>
      <c r="U285" s="730"/>
      <c r="V285" s="778"/>
      <c r="W285" s="778"/>
      <c r="X285" s="721"/>
      <c r="Y285" s="722"/>
      <c r="AA285" s="609"/>
      <c r="AB285" s="609"/>
      <c r="AC285" s="609"/>
      <c r="AD285" s="724"/>
      <c r="AE285" s="724"/>
      <c r="AF285" s="724"/>
      <c r="AG285" s="724"/>
      <c r="AH285" s="724"/>
      <c r="AI285" s="724"/>
      <c r="AJ285" s="724"/>
      <c r="AK285" s="724"/>
      <c r="AL285" s="724"/>
      <c r="AM285" s="724"/>
      <c r="AN285" s="724"/>
      <c r="AO285" s="724"/>
      <c r="AP285" s="724"/>
      <c r="AQ285" s="724"/>
      <c r="AR285" s="724"/>
      <c r="AS285" s="724"/>
      <c r="AT285" s="724"/>
      <c r="AU285" s="724"/>
      <c r="AV285" s="609"/>
      <c r="AW285" s="610"/>
      <c r="AX285" s="611"/>
      <c r="AY285" s="807"/>
      <c r="AZ285" s="612"/>
      <c r="BA285" s="613"/>
    </row>
    <row r="286" spans="1:53" s="723" customFormat="1" ht="27" customHeight="1">
      <c r="A286" s="712"/>
      <c r="B286" s="713"/>
      <c r="C286" s="780" t="s">
        <v>542</v>
      </c>
      <c r="D286" s="781">
        <v>19</v>
      </c>
      <c r="E286" s="788">
        <v>19</v>
      </c>
      <c r="F286" s="775"/>
      <c r="G286" s="775">
        <v>1</v>
      </c>
      <c r="H286" s="775"/>
      <c r="I286" s="775"/>
      <c r="J286" s="778">
        <v>56084</v>
      </c>
      <c r="K286" s="716"/>
      <c r="L286" s="756">
        <v>56084</v>
      </c>
      <c r="M286" s="777"/>
      <c r="N286" s="778"/>
      <c r="O286" s="778"/>
      <c r="P286" s="778"/>
      <c r="Q286" s="778"/>
      <c r="R286" s="778"/>
      <c r="S286" s="778"/>
      <c r="T286" s="778"/>
      <c r="U286" s="730"/>
      <c r="V286" s="778"/>
      <c r="W286" s="778"/>
      <c r="X286" s="721"/>
      <c r="Y286" s="722"/>
      <c r="AA286" s="609"/>
      <c r="AB286" s="609"/>
      <c r="AC286" s="609"/>
      <c r="AD286" s="724"/>
      <c r="AE286" s="724"/>
      <c r="AF286" s="724"/>
      <c r="AG286" s="724"/>
      <c r="AH286" s="724"/>
      <c r="AI286" s="724"/>
      <c r="AJ286" s="724"/>
      <c r="AK286" s="724"/>
      <c r="AL286" s="724"/>
      <c r="AM286" s="724"/>
      <c r="AN286" s="724"/>
      <c r="AO286" s="724"/>
      <c r="AP286" s="724"/>
      <c r="AQ286" s="724"/>
      <c r="AR286" s="724"/>
      <c r="AS286" s="724"/>
      <c r="AT286" s="724"/>
      <c r="AU286" s="724"/>
      <c r="AV286" s="609"/>
      <c r="AW286" s="610"/>
      <c r="AX286" s="611"/>
      <c r="AY286" s="807"/>
      <c r="AZ286" s="612"/>
      <c r="BA286" s="613"/>
    </row>
    <row r="287" spans="1:53" s="723" customFormat="1" ht="27" customHeight="1">
      <c r="A287" s="712"/>
      <c r="B287" s="713"/>
      <c r="C287" s="780" t="s">
        <v>543</v>
      </c>
      <c r="D287" s="781">
        <v>13</v>
      </c>
      <c r="E287" s="788">
        <v>13</v>
      </c>
      <c r="F287" s="775"/>
      <c r="G287" s="775">
        <v>1</v>
      </c>
      <c r="H287" s="775"/>
      <c r="I287" s="775"/>
      <c r="J287" s="778">
        <v>27364</v>
      </c>
      <c r="K287" s="716"/>
      <c r="L287" s="756">
        <v>27364</v>
      </c>
      <c r="M287" s="777"/>
      <c r="N287" s="778"/>
      <c r="O287" s="778"/>
      <c r="P287" s="778"/>
      <c r="Q287" s="778"/>
      <c r="R287" s="778"/>
      <c r="S287" s="778"/>
      <c r="T287" s="778"/>
      <c r="U287" s="730"/>
      <c r="V287" s="778"/>
      <c r="W287" s="778"/>
      <c r="X287" s="721"/>
      <c r="Y287" s="722"/>
      <c r="AA287" s="609"/>
      <c r="AB287" s="609"/>
      <c r="AC287" s="609"/>
      <c r="AD287" s="724"/>
      <c r="AE287" s="724"/>
      <c r="AF287" s="724"/>
      <c r="AG287" s="724"/>
      <c r="AH287" s="724"/>
      <c r="AI287" s="724"/>
      <c r="AJ287" s="724"/>
      <c r="AK287" s="724"/>
      <c r="AL287" s="724"/>
      <c r="AM287" s="724"/>
      <c r="AN287" s="724"/>
      <c r="AO287" s="724"/>
      <c r="AP287" s="724"/>
      <c r="AQ287" s="724"/>
      <c r="AR287" s="724"/>
      <c r="AS287" s="724"/>
      <c r="AT287" s="724"/>
      <c r="AU287" s="724"/>
      <c r="AV287" s="609"/>
      <c r="AW287" s="610"/>
      <c r="AX287" s="611"/>
      <c r="AY287" s="807"/>
      <c r="AZ287" s="612"/>
      <c r="BA287" s="613"/>
    </row>
    <row r="288" spans="1:53" s="723" customFormat="1" ht="27" customHeight="1">
      <c r="A288" s="712"/>
      <c r="B288" s="713"/>
      <c r="C288" s="780" t="s">
        <v>544</v>
      </c>
      <c r="D288" s="781">
        <v>13</v>
      </c>
      <c r="E288" s="788">
        <v>13</v>
      </c>
      <c r="F288" s="775"/>
      <c r="G288" s="775">
        <v>1</v>
      </c>
      <c r="H288" s="775"/>
      <c r="I288" s="775"/>
      <c r="J288" s="778">
        <v>75084</v>
      </c>
      <c r="K288" s="716"/>
      <c r="L288" s="756">
        <v>75084</v>
      </c>
      <c r="M288" s="777"/>
      <c r="N288" s="778"/>
      <c r="O288" s="778"/>
      <c r="P288" s="778"/>
      <c r="Q288" s="778"/>
      <c r="R288" s="778"/>
      <c r="S288" s="778"/>
      <c r="T288" s="778"/>
      <c r="U288" s="730"/>
      <c r="V288" s="778"/>
      <c r="W288" s="778"/>
      <c r="X288" s="721"/>
      <c r="Y288" s="722"/>
      <c r="AA288" s="609"/>
      <c r="AB288" s="609"/>
      <c r="AC288" s="609"/>
      <c r="AD288" s="724"/>
      <c r="AE288" s="724"/>
      <c r="AF288" s="724"/>
      <c r="AG288" s="724"/>
      <c r="AH288" s="724"/>
      <c r="AI288" s="724"/>
      <c r="AJ288" s="724"/>
      <c r="AK288" s="724"/>
      <c r="AL288" s="724"/>
      <c r="AM288" s="724"/>
      <c r="AN288" s="724"/>
      <c r="AO288" s="724"/>
      <c r="AP288" s="724"/>
      <c r="AQ288" s="724"/>
      <c r="AR288" s="724"/>
      <c r="AS288" s="724"/>
      <c r="AT288" s="724"/>
      <c r="AU288" s="724"/>
      <c r="AV288" s="609"/>
      <c r="AW288" s="610"/>
      <c r="AX288" s="611"/>
      <c r="AY288" s="807"/>
      <c r="AZ288" s="612"/>
      <c r="BA288" s="613"/>
    </row>
    <row r="289" spans="1:53" s="701" customFormat="1" ht="24.75" customHeight="1">
      <c r="A289" s="695">
        <v>4</v>
      </c>
      <c r="B289" s="1946" t="s">
        <v>545</v>
      </c>
      <c r="C289" s="1946"/>
      <c r="D289" s="594"/>
      <c r="E289" s="696">
        <v>0</v>
      </c>
      <c r="F289" s="696">
        <v>0</v>
      </c>
      <c r="G289" s="596">
        <f>SUM(G290:G297)</f>
        <v>8</v>
      </c>
      <c r="H289" s="696">
        <v>8</v>
      </c>
      <c r="I289" s="696"/>
      <c r="J289" s="696"/>
      <c r="K289" s="696"/>
      <c r="L289" s="696"/>
      <c r="M289" s="696"/>
      <c r="N289" s="697"/>
      <c r="O289" s="697"/>
      <c r="P289" s="697"/>
      <c r="Q289" s="697"/>
      <c r="R289" s="697"/>
      <c r="S289" s="696"/>
      <c r="T289" s="698"/>
      <c r="U289" s="699"/>
      <c r="V289" s="697"/>
      <c r="W289" s="700">
        <v>0.97499999999999998</v>
      </c>
      <c r="X289" s="607"/>
      <c r="Y289" s="608">
        <f>S289*12</f>
        <v>0</v>
      </c>
      <c r="AA289" s="609"/>
      <c r="AB289" s="609"/>
      <c r="AC289" s="609"/>
      <c r="AD289" s="609"/>
      <c r="AE289" s="609"/>
      <c r="AF289" s="609"/>
      <c r="AG289" s="609"/>
      <c r="AH289" s="609"/>
      <c r="AI289" s="609"/>
      <c r="AJ289" s="609"/>
      <c r="AK289" s="609"/>
      <c r="AL289" s="609"/>
      <c r="AM289" s="609"/>
      <c r="AN289" s="609"/>
      <c r="AO289" s="609"/>
      <c r="AP289" s="609"/>
      <c r="AQ289" s="609"/>
      <c r="AR289" s="609"/>
      <c r="AS289" s="609"/>
      <c r="AT289" s="609"/>
      <c r="AU289" s="609"/>
      <c r="AV289" s="609"/>
      <c r="AW289" s="610"/>
      <c r="AX289" s="611"/>
      <c r="AY289" s="806"/>
      <c r="AZ289" s="612"/>
      <c r="BA289" s="613"/>
    </row>
    <row r="290" spans="1:53" s="785" customFormat="1" ht="24.75" customHeight="1">
      <c r="A290" s="784"/>
      <c r="B290" s="789"/>
      <c r="C290" s="780" t="s">
        <v>546</v>
      </c>
      <c r="D290" s="781">
        <v>11</v>
      </c>
      <c r="E290" s="788">
        <v>11</v>
      </c>
      <c r="F290" s="777"/>
      <c r="G290" s="790">
        <v>1</v>
      </c>
      <c r="H290" s="777"/>
      <c r="I290" s="777"/>
      <c r="J290" s="778">
        <v>64021</v>
      </c>
      <c r="K290" s="791"/>
      <c r="L290" s="756">
        <v>64021</v>
      </c>
      <c r="M290" s="777"/>
      <c r="N290" s="778"/>
      <c r="O290" s="778"/>
      <c r="P290" s="778"/>
      <c r="Q290" s="778"/>
      <c r="R290" s="778"/>
      <c r="S290" s="777"/>
      <c r="T290" s="792"/>
      <c r="U290" s="773"/>
      <c r="V290" s="778"/>
      <c r="W290" s="778"/>
      <c r="X290" s="721"/>
      <c r="Y290" s="722"/>
      <c r="AA290" s="609"/>
      <c r="AB290" s="609"/>
      <c r="AC290" s="609"/>
      <c r="AD290" s="724"/>
      <c r="AE290" s="724"/>
      <c r="AF290" s="724"/>
      <c r="AG290" s="724"/>
      <c r="AH290" s="724"/>
      <c r="AI290" s="724"/>
      <c r="AJ290" s="724"/>
      <c r="AK290" s="724"/>
      <c r="AL290" s="724"/>
      <c r="AM290" s="724"/>
      <c r="AN290" s="724"/>
      <c r="AO290" s="724"/>
      <c r="AP290" s="724"/>
      <c r="AQ290" s="724"/>
      <c r="AR290" s="724"/>
      <c r="AS290" s="724"/>
      <c r="AT290" s="724"/>
      <c r="AU290" s="724"/>
      <c r="AV290" s="609"/>
      <c r="AW290" s="610"/>
      <c r="AX290" s="611"/>
      <c r="AY290" s="807"/>
      <c r="AZ290" s="612"/>
      <c r="BA290" s="613"/>
    </row>
    <row r="291" spans="1:53" s="785" customFormat="1" ht="24.75" customHeight="1">
      <c r="A291" s="784"/>
      <c r="B291" s="789"/>
      <c r="C291" s="780" t="s">
        <v>547</v>
      </c>
      <c r="D291" s="781">
        <v>15</v>
      </c>
      <c r="E291" s="788">
        <v>15</v>
      </c>
      <c r="F291" s="777"/>
      <c r="G291" s="790">
        <v>1</v>
      </c>
      <c r="H291" s="777"/>
      <c r="I291" s="777"/>
      <c r="J291" s="778">
        <v>95346</v>
      </c>
      <c r="K291" s="791"/>
      <c r="L291" s="756">
        <v>95346</v>
      </c>
      <c r="M291" s="777"/>
      <c r="N291" s="778"/>
      <c r="O291" s="778"/>
      <c r="P291" s="778"/>
      <c r="Q291" s="778"/>
      <c r="R291" s="778"/>
      <c r="S291" s="777"/>
      <c r="T291" s="792"/>
      <c r="U291" s="730"/>
      <c r="V291" s="778"/>
      <c r="W291" s="778"/>
      <c r="X291" s="721"/>
      <c r="Y291" s="722"/>
      <c r="AA291" s="609"/>
      <c r="AB291" s="609"/>
      <c r="AC291" s="609"/>
      <c r="AD291" s="724"/>
      <c r="AE291" s="724"/>
      <c r="AF291" s="724"/>
      <c r="AG291" s="724"/>
      <c r="AH291" s="724"/>
      <c r="AI291" s="724"/>
      <c r="AJ291" s="724"/>
      <c r="AK291" s="724"/>
      <c r="AL291" s="724"/>
      <c r="AM291" s="724"/>
      <c r="AN291" s="724"/>
      <c r="AO291" s="724"/>
      <c r="AP291" s="724"/>
      <c r="AQ291" s="724"/>
      <c r="AR291" s="724"/>
      <c r="AS291" s="724"/>
      <c r="AT291" s="724"/>
      <c r="AU291" s="724"/>
      <c r="AV291" s="609"/>
      <c r="AW291" s="610"/>
      <c r="AX291" s="611"/>
      <c r="AY291" s="807"/>
      <c r="AZ291" s="612"/>
      <c r="BA291" s="613"/>
    </row>
    <row r="292" spans="1:53" s="785" customFormat="1" ht="24.75" customHeight="1">
      <c r="A292" s="784"/>
      <c r="B292" s="789"/>
      <c r="C292" s="780" t="s">
        <v>548</v>
      </c>
      <c r="D292" s="781">
        <v>13</v>
      </c>
      <c r="E292" s="788">
        <v>13</v>
      </c>
      <c r="F292" s="777"/>
      <c r="G292" s="790">
        <v>1</v>
      </c>
      <c r="H292" s="777"/>
      <c r="I292" s="777"/>
      <c r="J292" s="778">
        <v>64013</v>
      </c>
      <c r="K292" s="791"/>
      <c r="L292" s="756">
        <v>64013</v>
      </c>
      <c r="M292" s="777"/>
      <c r="N292" s="778"/>
      <c r="O292" s="778"/>
      <c r="P292" s="778"/>
      <c r="Q292" s="778"/>
      <c r="R292" s="778"/>
      <c r="S292" s="777"/>
      <c r="T292" s="792"/>
      <c r="U292" s="730"/>
      <c r="V292" s="778"/>
      <c r="W292" s="778"/>
      <c r="X292" s="721"/>
      <c r="Y292" s="722"/>
      <c r="AA292" s="609"/>
      <c r="AB292" s="609"/>
      <c r="AC292" s="609"/>
      <c r="AD292" s="724"/>
      <c r="AE292" s="724"/>
      <c r="AF292" s="724"/>
      <c r="AG292" s="724"/>
      <c r="AH292" s="724"/>
      <c r="AI292" s="724"/>
      <c r="AJ292" s="724"/>
      <c r="AK292" s="724"/>
      <c r="AL292" s="724"/>
      <c r="AM292" s="724"/>
      <c r="AN292" s="724"/>
      <c r="AO292" s="724"/>
      <c r="AP292" s="724"/>
      <c r="AQ292" s="724"/>
      <c r="AR292" s="724"/>
      <c r="AS292" s="724"/>
      <c r="AT292" s="724"/>
      <c r="AU292" s="724"/>
      <c r="AV292" s="609"/>
      <c r="AW292" s="610"/>
      <c r="AX292" s="611"/>
      <c r="AY292" s="807"/>
      <c r="AZ292" s="612"/>
      <c r="BA292" s="613"/>
    </row>
    <row r="293" spans="1:53" s="785" customFormat="1" ht="24.75" customHeight="1">
      <c r="A293" s="784"/>
      <c r="B293" s="789"/>
      <c r="C293" s="780" t="s">
        <v>549</v>
      </c>
      <c r="D293" s="781">
        <v>20</v>
      </c>
      <c r="E293" s="788">
        <v>20</v>
      </c>
      <c r="F293" s="777"/>
      <c r="G293" s="790">
        <v>1</v>
      </c>
      <c r="H293" s="777"/>
      <c r="I293" s="777"/>
      <c r="J293" s="778">
        <v>107839</v>
      </c>
      <c r="K293" s="791"/>
      <c r="L293" s="756">
        <v>107839</v>
      </c>
      <c r="M293" s="777"/>
      <c r="N293" s="778"/>
      <c r="O293" s="778"/>
      <c r="P293" s="778"/>
      <c r="Q293" s="778"/>
      <c r="R293" s="778"/>
      <c r="S293" s="777"/>
      <c r="T293" s="792"/>
      <c r="U293" s="730"/>
      <c r="V293" s="778"/>
      <c r="W293" s="778"/>
      <c r="X293" s="721"/>
      <c r="Y293" s="722"/>
      <c r="AA293" s="609"/>
      <c r="AB293" s="609"/>
      <c r="AC293" s="609"/>
      <c r="AD293" s="724"/>
      <c r="AE293" s="724"/>
      <c r="AF293" s="724"/>
      <c r="AG293" s="724"/>
      <c r="AH293" s="724"/>
      <c r="AI293" s="724"/>
      <c r="AJ293" s="724"/>
      <c r="AK293" s="724"/>
      <c r="AL293" s="724"/>
      <c r="AM293" s="724"/>
      <c r="AN293" s="724"/>
      <c r="AO293" s="724"/>
      <c r="AP293" s="724"/>
      <c r="AQ293" s="724"/>
      <c r="AR293" s="724"/>
      <c r="AS293" s="724"/>
      <c r="AT293" s="724"/>
      <c r="AU293" s="724"/>
      <c r="AV293" s="609"/>
      <c r="AW293" s="610"/>
      <c r="AX293" s="611"/>
      <c r="AY293" s="807"/>
      <c r="AZ293" s="612"/>
      <c r="BA293" s="613"/>
    </row>
    <row r="294" spans="1:53" s="785" customFormat="1" ht="24.75" customHeight="1">
      <c r="A294" s="784"/>
      <c r="B294" s="789"/>
      <c r="C294" s="780" t="s">
        <v>550</v>
      </c>
      <c r="D294" s="781">
        <v>17</v>
      </c>
      <c r="E294" s="788">
        <v>17</v>
      </c>
      <c r="F294" s="777"/>
      <c r="G294" s="790">
        <v>1</v>
      </c>
      <c r="H294" s="777"/>
      <c r="I294" s="777"/>
      <c r="J294" s="778">
        <v>100814</v>
      </c>
      <c r="K294" s="791"/>
      <c r="L294" s="756">
        <v>100814</v>
      </c>
      <c r="M294" s="777"/>
      <c r="N294" s="778"/>
      <c r="O294" s="778"/>
      <c r="P294" s="778"/>
      <c r="Q294" s="778"/>
      <c r="R294" s="778"/>
      <c r="S294" s="777"/>
      <c r="T294" s="792"/>
      <c r="U294" s="730"/>
      <c r="V294" s="778"/>
      <c r="W294" s="778"/>
      <c r="X294" s="721"/>
      <c r="Y294" s="722"/>
      <c r="AA294" s="609"/>
      <c r="AB294" s="609"/>
      <c r="AC294" s="609"/>
      <c r="AD294" s="724"/>
      <c r="AE294" s="724"/>
      <c r="AF294" s="724"/>
      <c r="AG294" s="724"/>
      <c r="AH294" s="724"/>
      <c r="AI294" s="724"/>
      <c r="AJ294" s="724"/>
      <c r="AK294" s="724"/>
      <c r="AL294" s="724"/>
      <c r="AM294" s="724"/>
      <c r="AN294" s="724"/>
      <c r="AO294" s="724"/>
      <c r="AP294" s="724"/>
      <c r="AQ294" s="724"/>
      <c r="AR294" s="724"/>
      <c r="AS294" s="724"/>
      <c r="AT294" s="724"/>
      <c r="AU294" s="724"/>
      <c r="AV294" s="609"/>
      <c r="AW294" s="610"/>
      <c r="AX294" s="611"/>
      <c r="AY294" s="807"/>
      <c r="AZ294" s="612"/>
      <c r="BA294" s="613"/>
    </row>
    <row r="295" spans="1:53" s="785" customFormat="1" ht="24.75" customHeight="1">
      <c r="A295" s="784"/>
      <c r="B295" s="789"/>
      <c r="C295" s="780" t="s">
        <v>551</v>
      </c>
      <c r="D295" s="781">
        <v>8</v>
      </c>
      <c r="E295" s="788">
        <v>8</v>
      </c>
      <c r="F295" s="777"/>
      <c r="G295" s="790">
        <v>1</v>
      </c>
      <c r="H295" s="777"/>
      <c r="I295" s="777"/>
      <c r="J295" s="778">
        <v>40302</v>
      </c>
      <c r="K295" s="791"/>
      <c r="L295" s="756">
        <v>40302</v>
      </c>
      <c r="M295" s="777"/>
      <c r="N295" s="778"/>
      <c r="O295" s="778"/>
      <c r="P295" s="778"/>
      <c r="Q295" s="778"/>
      <c r="R295" s="778"/>
      <c r="S295" s="777"/>
      <c r="T295" s="792"/>
      <c r="U295" s="730"/>
      <c r="V295" s="778"/>
      <c r="W295" s="778"/>
      <c r="X295" s="721"/>
      <c r="Y295" s="722"/>
      <c r="AA295" s="609"/>
      <c r="AB295" s="609"/>
      <c r="AC295" s="609"/>
      <c r="AD295" s="724"/>
      <c r="AE295" s="724"/>
      <c r="AF295" s="724"/>
      <c r="AG295" s="724"/>
      <c r="AH295" s="724"/>
      <c r="AI295" s="724"/>
      <c r="AJ295" s="724"/>
      <c r="AK295" s="724"/>
      <c r="AL295" s="724"/>
      <c r="AM295" s="724"/>
      <c r="AN295" s="724"/>
      <c r="AO295" s="724"/>
      <c r="AP295" s="724"/>
      <c r="AQ295" s="724"/>
      <c r="AR295" s="724"/>
      <c r="AS295" s="724"/>
      <c r="AT295" s="724"/>
      <c r="AU295" s="724"/>
      <c r="AV295" s="609"/>
      <c r="AW295" s="610"/>
      <c r="AX295" s="611"/>
      <c r="AY295" s="807"/>
      <c r="AZ295" s="612"/>
      <c r="BA295" s="613"/>
    </row>
    <row r="296" spans="1:53" s="785" customFormat="1" ht="24.75" customHeight="1">
      <c r="A296" s="784"/>
      <c r="B296" s="789"/>
      <c r="C296" s="780" t="s">
        <v>552</v>
      </c>
      <c r="D296" s="781">
        <v>14</v>
      </c>
      <c r="E296" s="788">
        <v>14</v>
      </c>
      <c r="F296" s="777"/>
      <c r="G296" s="790">
        <v>1</v>
      </c>
      <c r="H296" s="777"/>
      <c r="I296" s="777"/>
      <c r="J296" s="778">
        <v>86871</v>
      </c>
      <c r="K296" s="791"/>
      <c r="L296" s="756">
        <v>86871</v>
      </c>
      <c r="M296" s="777"/>
      <c r="N296" s="778"/>
      <c r="O296" s="778"/>
      <c r="P296" s="778"/>
      <c r="Q296" s="778"/>
      <c r="R296" s="778"/>
      <c r="S296" s="777"/>
      <c r="T296" s="792"/>
      <c r="U296" s="730"/>
      <c r="V296" s="778"/>
      <c r="W296" s="778"/>
      <c r="X296" s="721"/>
      <c r="Y296" s="722"/>
      <c r="AA296" s="609"/>
      <c r="AB296" s="609"/>
      <c r="AC296" s="609"/>
      <c r="AD296" s="724"/>
      <c r="AE296" s="724"/>
      <c r="AF296" s="724"/>
      <c r="AG296" s="724"/>
      <c r="AH296" s="724"/>
      <c r="AI296" s="724"/>
      <c r="AJ296" s="724"/>
      <c r="AK296" s="724"/>
      <c r="AL296" s="724"/>
      <c r="AM296" s="724"/>
      <c r="AN296" s="724"/>
      <c r="AO296" s="724"/>
      <c r="AP296" s="724"/>
      <c r="AQ296" s="724"/>
      <c r="AR296" s="724"/>
      <c r="AS296" s="724"/>
      <c r="AT296" s="724"/>
      <c r="AU296" s="724"/>
      <c r="AV296" s="609"/>
      <c r="AW296" s="610"/>
      <c r="AX296" s="611"/>
      <c r="AY296" s="807"/>
      <c r="AZ296" s="612"/>
      <c r="BA296" s="613"/>
    </row>
    <row r="297" spans="1:53" s="785" customFormat="1" ht="24.75" customHeight="1">
      <c r="A297" s="784"/>
      <c r="B297" s="789"/>
      <c r="C297" s="780" t="s">
        <v>553</v>
      </c>
      <c r="D297" s="781">
        <v>11</v>
      </c>
      <c r="E297" s="788">
        <v>11</v>
      </c>
      <c r="F297" s="777"/>
      <c r="G297" s="790">
        <v>1</v>
      </c>
      <c r="H297" s="777"/>
      <c r="I297" s="777"/>
      <c r="J297" s="778">
        <v>49810</v>
      </c>
      <c r="K297" s="791"/>
      <c r="L297" s="756">
        <v>49810</v>
      </c>
      <c r="M297" s="777"/>
      <c r="N297" s="778"/>
      <c r="O297" s="778"/>
      <c r="P297" s="778"/>
      <c r="Q297" s="778"/>
      <c r="R297" s="778"/>
      <c r="S297" s="777"/>
      <c r="T297" s="792"/>
      <c r="U297" s="730"/>
      <c r="V297" s="778"/>
      <c r="W297" s="778"/>
      <c r="X297" s="721"/>
      <c r="Y297" s="722"/>
      <c r="AA297" s="609"/>
      <c r="AB297" s="609"/>
      <c r="AC297" s="609"/>
      <c r="AD297" s="724"/>
      <c r="AE297" s="724"/>
      <c r="AF297" s="724"/>
      <c r="AG297" s="724"/>
      <c r="AH297" s="724"/>
      <c r="AI297" s="724"/>
      <c r="AJ297" s="724"/>
      <c r="AK297" s="724"/>
      <c r="AL297" s="724"/>
      <c r="AM297" s="724"/>
      <c r="AN297" s="724"/>
      <c r="AO297" s="724"/>
      <c r="AP297" s="724"/>
      <c r="AQ297" s="724"/>
      <c r="AR297" s="724"/>
      <c r="AS297" s="724"/>
      <c r="AT297" s="724"/>
      <c r="AU297" s="724"/>
      <c r="AV297" s="609"/>
      <c r="AW297" s="610"/>
      <c r="AX297" s="611"/>
      <c r="AY297" s="807"/>
      <c r="AZ297" s="612"/>
      <c r="BA297" s="613"/>
    </row>
    <row r="298" spans="1:53" s="598" customFormat="1" ht="24.75" customHeight="1">
      <c r="A298" s="589">
        <v>5</v>
      </c>
      <c r="B298" s="1945" t="s">
        <v>554</v>
      </c>
      <c r="C298" s="1945"/>
      <c r="D298" s="594"/>
      <c r="E298" s="595">
        <f>SUM(E299:E304)</f>
        <v>67</v>
      </c>
      <c r="F298" s="595">
        <f>SUM(F299:F304)</f>
        <v>6</v>
      </c>
      <c r="G298" s="596">
        <f>SUM(G299:G307)</f>
        <v>9</v>
      </c>
      <c r="H298" s="595">
        <v>9</v>
      </c>
      <c r="I298" s="595"/>
      <c r="J298" s="595">
        <f>SUM(J299:J304)</f>
        <v>583085.5</v>
      </c>
      <c r="K298" s="595"/>
      <c r="L298" s="595"/>
      <c r="M298" s="595">
        <f>J298*15%</f>
        <v>87462.824999999997</v>
      </c>
      <c r="N298" s="658">
        <f t="shared" ref="N298:N304" si="157">J298-M298</f>
        <v>495622.67499999999</v>
      </c>
      <c r="O298" s="658">
        <f t="shared" ref="O298:O304" si="158">$N298*$W$298</f>
        <v>485214.59882499999</v>
      </c>
      <c r="P298" s="658">
        <f t="shared" ref="P298:P304" si="159">O298-T298-U298</f>
        <v>80895.598824999994</v>
      </c>
      <c r="Q298" s="658">
        <f t="shared" ref="Q298:Q304" si="160">N298-O298</f>
        <v>10408.076174999995</v>
      </c>
      <c r="R298" s="658"/>
      <c r="S298" s="595">
        <v>606478</v>
      </c>
      <c r="T298" s="702">
        <f>ROUND(S298/H298*F298,0)</f>
        <v>404319</v>
      </c>
      <c r="U298" s="621">
        <f>$J298*$W$290</f>
        <v>0</v>
      </c>
      <c r="V298" s="658">
        <f t="shared" ref="V298:V304" si="161">S298-T298-U298</f>
        <v>202159</v>
      </c>
      <c r="W298" s="597">
        <v>0.97899999999999998</v>
      </c>
      <c r="X298" s="607">
        <f t="shared" si="150"/>
        <v>2.2057263254830941</v>
      </c>
      <c r="Y298" s="608">
        <f t="shared" ref="Y298:Y304" si="162">S298*12</f>
        <v>7277736</v>
      </c>
      <c r="AA298" s="609"/>
      <c r="AB298" s="609"/>
      <c r="AC298" s="609"/>
      <c r="AD298" s="609"/>
      <c r="AE298" s="609"/>
      <c r="AF298" s="609"/>
      <c r="AG298" s="609"/>
      <c r="AH298" s="609"/>
      <c r="AI298" s="609"/>
      <c r="AJ298" s="609"/>
      <c r="AK298" s="609"/>
      <c r="AL298" s="609"/>
      <c r="AM298" s="609"/>
      <c r="AN298" s="609"/>
      <c r="AO298" s="609"/>
      <c r="AP298" s="609"/>
      <c r="AQ298" s="609"/>
      <c r="AR298" s="609"/>
      <c r="AS298" s="609"/>
      <c r="AT298" s="609"/>
      <c r="AU298" s="609"/>
      <c r="AV298" s="609"/>
      <c r="AW298" s="610"/>
      <c r="AX298" s="611"/>
      <c r="AY298" s="806"/>
      <c r="AZ298" s="612"/>
      <c r="BA298" s="613"/>
    </row>
    <row r="299" spans="1:53" ht="24.75" customHeight="1" thickBot="1">
      <c r="A299" s="599"/>
      <c r="B299" s="445">
        <v>1</v>
      </c>
      <c r="C299" s="445" t="s">
        <v>555</v>
      </c>
      <c r="D299" s="600">
        <v>10</v>
      </c>
      <c r="E299" s="561">
        <v>10</v>
      </c>
      <c r="F299" s="561">
        <v>1</v>
      </c>
      <c r="G299" s="602">
        <v>1</v>
      </c>
      <c r="H299" s="561"/>
      <c r="I299" s="561"/>
      <c r="J299" s="658">
        <v>57924.5</v>
      </c>
      <c r="K299" s="658">
        <v>46831</v>
      </c>
      <c r="L299" s="658">
        <f>17150/4*4+(81549/3*1.5)</f>
        <v>57924.5</v>
      </c>
      <c r="M299" s="595">
        <f t="shared" ref="M299:M304" si="163">J299*10%</f>
        <v>5792.4500000000007</v>
      </c>
      <c r="N299" s="658">
        <f t="shared" si="157"/>
        <v>52132.05</v>
      </c>
      <c r="O299" s="658">
        <f t="shared" si="158"/>
        <v>51037.276949999999</v>
      </c>
      <c r="P299" s="658">
        <f t="shared" si="159"/>
        <v>18137.610283333339</v>
      </c>
      <c r="Q299" s="658">
        <f t="shared" si="160"/>
        <v>1094.7730500000034</v>
      </c>
      <c r="R299" s="703"/>
      <c r="S299" s="704">
        <v>45781</v>
      </c>
      <c r="T299" s="621">
        <f>S299*0.2</f>
        <v>9156.2000000000007</v>
      </c>
      <c r="U299" s="665">
        <f>98699/3-T299</f>
        <v>23743.466666666664</v>
      </c>
      <c r="V299" s="658">
        <f t="shared" si="161"/>
        <v>12881.333333333339</v>
      </c>
      <c r="W299" s="658"/>
      <c r="X299" s="607">
        <f t="shared" si="150"/>
        <v>0.76690011131574065</v>
      </c>
      <c r="Y299" s="608">
        <f t="shared" si="162"/>
        <v>549372</v>
      </c>
      <c r="AA299" s="609">
        <f>D299*'Don gia XCSDL DC'!$K$8</f>
        <v>4612.6007476761533</v>
      </c>
      <c r="AB299" s="609">
        <f>D299*'Don gia XCSDL DC'!$K$9</f>
        <v>4400.983497676154</v>
      </c>
      <c r="AC299" s="609" t="e">
        <f>D299*'Don gia XCSDL DC'!#REF!</f>
        <v>#REF!</v>
      </c>
      <c r="AD299" s="609">
        <f>D299*'Don gia XCSDL DC'!$K$10</f>
        <v>17721.557538362234</v>
      </c>
      <c r="AE299" s="609">
        <f>J299*'Don gia XCSDL DC'!$K$11</f>
        <v>0</v>
      </c>
      <c r="AF299" s="609" t="e">
        <f>S299*'Don gia XCSDL DC'!#REF!</f>
        <v>#REF!</v>
      </c>
      <c r="AG299" s="609" t="e">
        <f>D299*'Don gia XCSDL DC'!#REF!</f>
        <v>#REF!</v>
      </c>
      <c r="AH299" s="609" t="e">
        <f>J299*'Don gia XCSDL DC'!#REF!</f>
        <v>#REF!</v>
      </c>
      <c r="AI299" s="609" t="e">
        <f>D299*'Don gia XCSDL DC'!#REF!</f>
        <v>#REF!</v>
      </c>
      <c r="AJ299" s="609">
        <f>S299*2*'Don gia XCSDL DC'!$K$24</f>
        <v>782908932.62970281</v>
      </c>
      <c r="AK299" s="609" t="e">
        <f>S299*3*'Don gia XCSDL DC'!#REF!</f>
        <v>#REF!</v>
      </c>
      <c r="AL299" s="609" t="e">
        <f>(S299*2+S299*3)*('Don gia XCSDL DC'!#REF!+'Don gia XCSDL DC'!#REF!+'Don gia XCSDL DC'!#REF!)</f>
        <v>#REF!</v>
      </c>
      <c r="AM299" s="609" t="e">
        <f>O299*'Don gia XCSDL DC'!#REF!*50%</f>
        <v>#REF!</v>
      </c>
      <c r="AN299" s="609" t="e">
        <f>T299*'Don gia XCSDL DC'!#REF!*$AN$8</f>
        <v>#REF!</v>
      </c>
      <c r="AO299" s="609" t="e">
        <f>U299*'Don gia XCSDL DC'!#REF!*1</f>
        <v>#REF!</v>
      </c>
      <c r="AP299" s="609" t="e">
        <f>P299*X299*'Don gia XCSDL DC'!#REF!</f>
        <v>#REF!</v>
      </c>
      <c r="AQ299" s="609" t="e">
        <f>Q299*$AQ$8*'Don gia XCSDL DC'!#REF!</f>
        <v>#REF!</v>
      </c>
      <c r="AR299" s="609" t="e">
        <f>M299*$AR$8*'Don gia XCSDL DC'!#REF!</f>
        <v>#REF!</v>
      </c>
      <c r="AS299" s="609" t="e">
        <f>J299*'Don gia XCSDL DC'!#REF!</f>
        <v>#REF!</v>
      </c>
      <c r="AT299" s="609">
        <f>D299*'Don gia XCSDL DC'!$K$26</f>
        <v>0</v>
      </c>
      <c r="AU299" s="609">
        <f>J299*'Don gia XCSDL DC'!$K$34</f>
        <v>0</v>
      </c>
      <c r="AV299" s="609">
        <f>O299*'Don gia XCSDL DC'!$K$37</f>
        <v>0</v>
      </c>
      <c r="AW299" s="610" t="e">
        <f t="shared" si="155"/>
        <v>#REF!</v>
      </c>
      <c r="AX299" s="611" t="e">
        <f t="shared" si="156"/>
        <v>#REF!</v>
      </c>
      <c r="AY299" s="806" t="e">
        <f t="shared" si="152"/>
        <v>#REF!</v>
      </c>
      <c r="AZ299" s="612" t="e">
        <f>D299*'Don gia XCSDL DC'!#REF!</f>
        <v>#REF!</v>
      </c>
      <c r="BA299" s="613" t="e">
        <f>(Q299+M299)*'Don gia XCSDL DC'!#REF!</f>
        <v>#REF!</v>
      </c>
    </row>
    <row r="300" spans="1:53" ht="24.75" customHeight="1">
      <c r="A300" s="599"/>
      <c r="B300" s="445">
        <v>2</v>
      </c>
      <c r="C300" s="445" t="s">
        <v>556</v>
      </c>
      <c r="D300" s="600">
        <v>7</v>
      </c>
      <c r="E300" s="561">
        <v>7</v>
      </c>
      <c r="F300" s="561">
        <v>1</v>
      </c>
      <c r="G300" s="602">
        <v>1</v>
      </c>
      <c r="H300" s="561"/>
      <c r="I300" s="561"/>
      <c r="J300" s="658">
        <v>42915</v>
      </c>
      <c r="K300" s="658">
        <v>30842.399999999998</v>
      </c>
      <c r="L300" s="658">
        <f>40000/4*4+(5830/3*1.5)</f>
        <v>42915</v>
      </c>
      <c r="M300" s="595">
        <f t="shared" si="163"/>
        <v>4291.5</v>
      </c>
      <c r="N300" s="658">
        <f t="shared" si="157"/>
        <v>38623.5</v>
      </c>
      <c r="O300" s="658">
        <f t="shared" si="158"/>
        <v>37812.406499999997</v>
      </c>
      <c r="P300" s="658">
        <f t="shared" si="159"/>
        <v>24479.073166666662</v>
      </c>
      <c r="Q300" s="658">
        <f t="shared" si="160"/>
        <v>811.09350000000268</v>
      </c>
      <c r="R300" s="658"/>
      <c r="S300" s="658">
        <v>16345</v>
      </c>
      <c r="T300" s="621">
        <f>S300*0.1</f>
        <v>1634.5</v>
      </c>
      <c r="U300" s="665">
        <f>40000/3-T300</f>
        <v>11698.833333333334</v>
      </c>
      <c r="V300" s="658">
        <f t="shared" si="161"/>
        <v>3011.6666666666661</v>
      </c>
      <c r="W300" s="658"/>
      <c r="X300" s="607">
        <f t="shared" si="150"/>
        <v>0.29461129380041406</v>
      </c>
      <c r="Y300" s="608">
        <f t="shared" si="162"/>
        <v>196140</v>
      </c>
      <c r="AA300" s="609">
        <f>D300*'Don gia XCSDL DC'!$K$8</f>
        <v>3228.8205233733079</v>
      </c>
      <c r="AB300" s="609">
        <f>D300*'Don gia XCSDL DC'!$K$9</f>
        <v>3080.6884483733083</v>
      </c>
      <c r="AC300" s="609" t="e">
        <f>D300*'Don gia XCSDL DC'!#REF!</f>
        <v>#REF!</v>
      </c>
      <c r="AD300" s="609">
        <f>D300*'Don gia XCSDL DC'!$K$10</f>
        <v>12405.090276853563</v>
      </c>
      <c r="AE300" s="609">
        <f>J300*'Don gia XCSDL DC'!$K$11</f>
        <v>0</v>
      </c>
      <c r="AF300" s="609" t="e">
        <f>S300*'Don gia XCSDL DC'!#REF!</f>
        <v>#REF!</v>
      </c>
      <c r="AG300" s="609" t="e">
        <f>D300*'Don gia XCSDL DC'!#REF!</f>
        <v>#REF!</v>
      </c>
      <c r="AH300" s="609" t="e">
        <f>J300*'Don gia XCSDL DC'!#REF!</f>
        <v>#REF!</v>
      </c>
      <c r="AI300" s="609" t="e">
        <f>D300*'Don gia XCSDL DC'!#REF!</f>
        <v>#REF!</v>
      </c>
      <c r="AJ300" s="609">
        <f>S300*2*'Don gia XCSDL DC'!$K$24</f>
        <v>279518719.63986135</v>
      </c>
      <c r="AK300" s="609" t="e">
        <f>S300*3*'Don gia XCSDL DC'!#REF!</f>
        <v>#REF!</v>
      </c>
      <c r="AL300" s="609" t="e">
        <f>(S300*2+S300*3)*('Don gia XCSDL DC'!#REF!+'Don gia XCSDL DC'!#REF!+'Don gia XCSDL DC'!#REF!)</f>
        <v>#REF!</v>
      </c>
      <c r="AM300" s="609" t="e">
        <f>O300*'Don gia XCSDL DC'!#REF!*50%</f>
        <v>#REF!</v>
      </c>
      <c r="AN300" s="609" t="e">
        <f>T300*'Don gia XCSDL DC'!#REF!*$AN$8</f>
        <v>#REF!</v>
      </c>
      <c r="AO300" s="609" t="e">
        <f>U300*'Don gia XCSDL DC'!#REF!*1</f>
        <v>#REF!</v>
      </c>
      <c r="AP300" s="609" t="e">
        <f>P300*X300*'Don gia XCSDL DC'!#REF!</f>
        <v>#REF!</v>
      </c>
      <c r="AQ300" s="609" t="e">
        <f>Q300*$AQ$8*'Don gia XCSDL DC'!#REF!</f>
        <v>#REF!</v>
      </c>
      <c r="AR300" s="609" t="e">
        <f>M300*$AR$8*'Don gia XCSDL DC'!#REF!</f>
        <v>#REF!</v>
      </c>
      <c r="AS300" s="609" t="e">
        <f>J300*'Don gia XCSDL DC'!#REF!</f>
        <v>#REF!</v>
      </c>
      <c r="AT300" s="609">
        <f>D300*'Don gia XCSDL DC'!$K$26</f>
        <v>0</v>
      </c>
      <c r="AU300" s="609">
        <f>J300*'Don gia XCSDL DC'!$K$34</f>
        <v>0</v>
      </c>
      <c r="AV300" s="609">
        <f>O300*'Don gia XCSDL DC'!$K$37</f>
        <v>0</v>
      </c>
      <c r="AW300" s="610" t="e">
        <f t="shared" si="155"/>
        <v>#REF!</v>
      </c>
      <c r="AX300" s="611" t="e">
        <f t="shared" si="156"/>
        <v>#REF!</v>
      </c>
      <c r="AY300" s="806" t="e">
        <f t="shared" si="152"/>
        <v>#REF!</v>
      </c>
      <c r="AZ300" s="612" t="e">
        <f>D300*'Don gia XCSDL DC'!#REF!</f>
        <v>#REF!</v>
      </c>
      <c r="BA300" s="613" t="e">
        <f>(Q300+M300)*'Don gia XCSDL DC'!#REF!</f>
        <v>#REF!</v>
      </c>
    </row>
    <row r="301" spans="1:53" ht="24.75" customHeight="1">
      <c r="A301" s="599"/>
      <c r="B301" s="445">
        <v>3</v>
      </c>
      <c r="C301" s="445" t="s">
        <v>557</v>
      </c>
      <c r="D301" s="600">
        <v>7</v>
      </c>
      <c r="E301" s="561">
        <v>7</v>
      </c>
      <c r="F301" s="561">
        <v>1</v>
      </c>
      <c r="G301" s="602">
        <v>1</v>
      </c>
      <c r="H301" s="561"/>
      <c r="I301" s="561"/>
      <c r="J301" s="658">
        <v>62865</v>
      </c>
      <c r="K301" s="658">
        <v>20561.600000000002</v>
      </c>
      <c r="L301" s="658">
        <f>52865/4*4+10000</f>
        <v>62865</v>
      </c>
      <c r="M301" s="595">
        <f t="shared" si="163"/>
        <v>6286.5</v>
      </c>
      <c r="N301" s="658">
        <f t="shared" si="157"/>
        <v>56578.5</v>
      </c>
      <c r="O301" s="658">
        <f t="shared" si="158"/>
        <v>55390.351499999997</v>
      </c>
      <c r="P301" s="658">
        <f t="shared" si="159"/>
        <v>45607.851499999997</v>
      </c>
      <c r="Q301" s="658">
        <f t="shared" si="160"/>
        <v>1188.148500000003</v>
      </c>
      <c r="R301" s="658"/>
      <c r="S301" s="658">
        <v>12970</v>
      </c>
      <c r="T301" s="621">
        <f>S301*0.05</f>
        <v>648.5</v>
      </c>
      <c r="U301" s="665">
        <f>58695/6-T301</f>
        <v>9134</v>
      </c>
      <c r="V301" s="658">
        <f t="shared" si="161"/>
        <v>3187.5</v>
      </c>
      <c r="W301" s="658"/>
      <c r="X301" s="607">
        <f t="shared" si="150"/>
        <v>0.25186746604650817</v>
      </c>
      <c r="Y301" s="608">
        <f t="shared" si="162"/>
        <v>155640</v>
      </c>
      <c r="AA301" s="609">
        <f>D301*'Don gia XCSDL DC'!$K$8</f>
        <v>3228.8205233733079</v>
      </c>
      <c r="AB301" s="609">
        <f>D301*'Don gia XCSDL DC'!$K$9</f>
        <v>3080.6884483733083</v>
      </c>
      <c r="AC301" s="609" t="e">
        <f>D301*'Don gia XCSDL DC'!#REF!</f>
        <v>#REF!</v>
      </c>
      <c r="AD301" s="609">
        <f>D301*'Don gia XCSDL DC'!$K$10</f>
        <v>12405.090276853563</v>
      </c>
      <c r="AE301" s="609">
        <f>J301*'Don gia XCSDL DC'!$K$11</f>
        <v>0</v>
      </c>
      <c r="AF301" s="609" t="e">
        <f>S301*'Don gia XCSDL DC'!#REF!</f>
        <v>#REF!</v>
      </c>
      <c r="AG301" s="609" t="e">
        <f>D301*'Don gia XCSDL DC'!#REF!</f>
        <v>#REF!</v>
      </c>
      <c r="AH301" s="609" t="e">
        <f>J301*'Don gia XCSDL DC'!#REF!</f>
        <v>#REF!</v>
      </c>
      <c r="AI301" s="609" t="e">
        <f>D301*'Don gia XCSDL DC'!#REF!</f>
        <v>#REF!</v>
      </c>
      <c r="AJ301" s="609">
        <f>S301*2*'Don gia XCSDL DC'!$K$24</f>
        <v>221802251.06937912</v>
      </c>
      <c r="AK301" s="609" t="e">
        <f>S301*3*'Don gia XCSDL DC'!#REF!</f>
        <v>#REF!</v>
      </c>
      <c r="AL301" s="609" t="e">
        <f>(S301*2+S301*3)*('Don gia XCSDL DC'!#REF!+'Don gia XCSDL DC'!#REF!+'Don gia XCSDL DC'!#REF!)</f>
        <v>#REF!</v>
      </c>
      <c r="AM301" s="609" t="e">
        <f>O301*'Don gia XCSDL DC'!#REF!*50%</f>
        <v>#REF!</v>
      </c>
      <c r="AN301" s="609" t="e">
        <f>T301*'Don gia XCSDL DC'!#REF!*$AN$8</f>
        <v>#REF!</v>
      </c>
      <c r="AO301" s="609" t="e">
        <f>U301*'Don gia XCSDL DC'!#REF!*1</f>
        <v>#REF!</v>
      </c>
      <c r="AP301" s="609" t="e">
        <f>P301*X301*'Don gia XCSDL DC'!#REF!</f>
        <v>#REF!</v>
      </c>
      <c r="AQ301" s="609" t="e">
        <f>Q301*$AQ$8*'Don gia XCSDL DC'!#REF!</f>
        <v>#REF!</v>
      </c>
      <c r="AR301" s="609" t="e">
        <f>M301*$AR$8*'Don gia XCSDL DC'!#REF!</f>
        <v>#REF!</v>
      </c>
      <c r="AS301" s="609" t="e">
        <f>J301*'Don gia XCSDL DC'!#REF!</f>
        <v>#REF!</v>
      </c>
      <c r="AT301" s="609">
        <f>D301*'Don gia XCSDL DC'!$K$26</f>
        <v>0</v>
      </c>
      <c r="AU301" s="609">
        <f>J301*'Don gia XCSDL DC'!$K$34</f>
        <v>0</v>
      </c>
      <c r="AV301" s="609">
        <f>O301*'Don gia XCSDL DC'!$K$37</f>
        <v>0</v>
      </c>
      <c r="AW301" s="610" t="e">
        <f t="shared" si="155"/>
        <v>#REF!</v>
      </c>
      <c r="AX301" s="611" t="e">
        <f t="shared" si="156"/>
        <v>#REF!</v>
      </c>
      <c r="AY301" s="806" t="e">
        <f t="shared" si="152"/>
        <v>#REF!</v>
      </c>
      <c r="AZ301" s="612" t="e">
        <f>D301*'Don gia XCSDL DC'!#REF!</f>
        <v>#REF!</v>
      </c>
      <c r="BA301" s="613" t="e">
        <f>(Q301+M301)*'Don gia XCSDL DC'!#REF!</f>
        <v>#REF!</v>
      </c>
    </row>
    <row r="302" spans="1:53" ht="24.75" customHeight="1">
      <c r="A302" s="599"/>
      <c r="B302" s="445">
        <v>4</v>
      </c>
      <c r="C302" s="445" t="s">
        <v>558</v>
      </c>
      <c r="D302" s="600">
        <v>11</v>
      </c>
      <c r="E302" s="561">
        <v>11</v>
      </c>
      <c r="F302" s="561">
        <v>1</v>
      </c>
      <c r="G302" s="602">
        <v>1</v>
      </c>
      <c r="H302" s="561"/>
      <c r="I302" s="561"/>
      <c r="J302" s="658">
        <v>112241</v>
      </c>
      <c r="K302" s="658">
        <v>60528</v>
      </c>
      <c r="L302" s="658">
        <f>92241/4*4+20000</f>
        <v>112241</v>
      </c>
      <c r="M302" s="595">
        <f t="shared" si="163"/>
        <v>11224.1</v>
      </c>
      <c r="N302" s="658">
        <f t="shared" si="157"/>
        <v>101016.9</v>
      </c>
      <c r="O302" s="658">
        <f t="shared" si="158"/>
        <v>98895.545099999988</v>
      </c>
      <c r="P302" s="658">
        <f t="shared" si="159"/>
        <v>62521.545099999988</v>
      </c>
      <c r="Q302" s="658">
        <f t="shared" si="160"/>
        <v>2121.3549000000057</v>
      </c>
      <c r="R302" s="705"/>
      <c r="S302" s="706">
        <v>54011</v>
      </c>
      <c r="T302" s="621">
        <f>S302*0.05</f>
        <v>2700.55</v>
      </c>
      <c r="U302" s="665">
        <f>109122/3-T302</f>
        <v>33673.449999999997</v>
      </c>
      <c r="V302" s="658">
        <f t="shared" si="161"/>
        <v>17637</v>
      </c>
      <c r="W302" s="658"/>
      <c r="X302" s="607">
        <f t="shared" si="150"/>
        <v>0.42255447752702846</v>
      </c>
      <c r="Y302" s="608">
        <f t="shared" si="162"/>
        <v>648132</v>
      </c>
      <c r="AA302" s="609">
        <f>D302*'Don gia XCSDL DC'!$K$8</f>
        <v>5073.8608224437694</v>
      </c>
      <c r="AB302" s="609">
        <f>D302*'Don gia XCSDL DC'!$K$9</f>
        <v>4841.0818474437701</v>
      </c>
      <c r="AC302" s="609" t="e">
        <f>D302*'Don gia XCSDL DC'!#REF!</f>
        <v>#REF!</v>
      </c>
      <c r="AD302" s="609">
        <f>D302*'Don gia XCSDL DC'!$K$10</f>
        <v>19493.713292198456</v>
      </c>
      <c r="AE302" s="609">
        <f>J302*'Don gia XCSDL DC'!$K$11</f>
        <v>0</v>
      </c>
      <c r="AF302" s="609" t="e">
        <f>S302*'Don gia XCSDL DC'!#REF!</f>
        <v>#REF!</v>
      </c>
      <c r="AG302" s="609" t="e">
        <f>D302*'Don gia XCSDL DC'!#REF!</f>
        <v>#REF!</v>
      </c>
      <c r="AH302" s="609" t="e">
        <f>J302*'Don gia XCSDL DC'!#REF!</f>
        <v>#REF!</v>
      </c>
      <c r="AI302" s="609" t="e">
        <f>D302*'Don gia XCSDL DC'!#REF!</f>
        <v>#REF!</v>
      </c>
      <c r="AJ302" s="609">
        <f>S302*2*'Don gia XCSDL DC'!$K$24</f>
        <v>923651610.06231582</v>
      </c>
      <c r="AK302" s="609" t="e">
        <f>S302*3*'Don gia XCSDL DC'!#REF!</f>
        <v>#REF!</v>
      </c>
      <c r="AL302" s="609" t="e">
        <f>(S302*2+S302*3)*('Don gia XCSDL DC'!#REF!+'Don gia XCSDL DC'!#REF!+'Don gia XCSDL DC'!#REF!)</f>
        <v>#REF!</v>
      </c>
      <c r="AM302" s="609" t="e">
        <f>O302*'Don gia XCSDL DC'!#REF!*50%</f>
        <v>#REF!</v>
      </c>
      <c r="AN302" s="609" t="e">
        <f>T302*'Don gia XCSDL DC'!#REF!*$AN$8</f>
        <v>#REF!</v>
      </c>
      <c r="AO302" s="609" t="e">
        <f>U302*'Don gia XCSDL DC'!#REF!*1</f>
        <v>#REF!</v>
      </c>
      <c r="AP302" s="609" t="e">
        <f>P302*X302*'Don gia XCSDL DC'!#REF!</f>
        <v>#REF!</v>
      </c>
      <c r="AQ302" s="609" t="e">
        <f>Q302*$AQ$8*'Don gia XCSDL DC'!#REF!</f>
        <v>#REF!</v>
      </c>
      <c r="AR302" s="609" t="e">
        <f>M302*$AR$8*'Don gia XCSDL DC'!#REF!</f>
        <v>#REF!</v>
      </c>
      <c r="AS302" s="609" t="e">
        <f>J302*'Don gia XCSDL DC'!#REF!</f>
        <v>#REF!</v>
      </c>
      <c r="AT302" s="609">
        <f>D302*'Don gia XCSDL DC'!$K$26</f>
        <v>0</v>
      </c>
      <c r="AU302" s="609">
        <f>J302*'Don gia XCSDL DC'!$K$34</f>
        <v>0</v>
      </c>
      <c r="AV302" s="609">
        <f>O302*'Don gia XCSDL DC'!$K$37</f>
        <v>0</v>
      </c>
      <c r="AW302" s="610" t="e">
        <f t="shared" si="155"/>
        <v>#REF!</v>
      </c>
      <c r="AX302" s="611" t="e">
        <f t="shared" si="156"/>
        <v>#REF!</v>
      </c>
      <c r="AY302" s="806" t="e">
        <f t="shared" si="152"/>
        <v>#REF!</v>
      </c>
      <c r="AZ302" s="612" t="e">
        <f>D302*'Don gia XCSDL DC'!#REF!</f>
        <v>#REF!</v>
      </c>
      <c r="BA302" s="613" t="e">
        <f>(Q302+M302)*'Don gia XCSDL DC'!#REF!</f>
        <v>#REF!</v>
      </c>
    </row>
    <row r="303" spans="1:53" ht="24.75" customHeight="1">
      <c r="A303" s="599"/>
      <c r="B303" s="445">
        <v>5</v>
      </c>
      <c r="C303" s="445" t="s">
        <v>559</v>
      </c>
      <c r="D303" s="600">
        <v>17</v>
      </c>
      <c r="E303" s="561">
        <v>17</v>
      </c>
      <c r="F303" s="561">
        <v>1</v>
      </c>
      <c r="G303" s="602">
        <v>1</v>
      </c>
      <c r="H303" s="561"/>
      <c r="I303" s="561"/>
      <c r="J303" s="658">
        <v>176408</v>
      </c>
      <c r="K303" s="658">
        <v>129298</v>
      </c>
      <c r="L303" s="658">
        <f>164408/4*4+12000</f>
        <v>176408</v>
      </c>
      <c r="M303" s="595">
        <f t="shared" si="163"/>
        <v>17640.8</v>
      </c>
      <c r="N303" s="658">
        <f t="shared" si="157"/>
        <v>158767.20000000001</v>
      </c>
      <c r="O303" s="658">
        <f t="shared" si="158"/>
        <v>155433.0888</v>
      </c>
      <c r="P303" s="658">
        <f t="shared" si="159"/>
        <v>111402.83879999998</v>
      </c>
      <c r="Q303" s="658">
        <f t="shared" si="160"/>
        <v>3334.1112000000139</v>
      </c>
      <c r="R303" s="658"/>
      <c r="S303" s="658">
        <v>67089</v>
      </c>
      <c r="T303" s="621">
        <f>S303*0.05</f>
        <v>3354.4500000000003</v>
      </c>
      <c r="U303" s="665">
        <f>176121/4-T303</f>
        <v>40675.800000000003</v>
      </c>
      <c r="V303" s="658">
        <f t="shared" si="161"/>
        <v>23058.75</v>
      </c>
      <c r="W303" s="658"/>
      <c r="X303" s="607">
        <f t="shared" si="150"/>
        <v>0.3621403499287395</v>
      </c>
      <c r="Y303" s="608">
        <f t="shared" si="162"/>
        <v>805068</v>
      </c>
      <c r="AA303" s="609">
        <f>D303*'Don gia XCSDL DC'!$K$8</f>
        <v>7841.4212710494612</v>
      </c>
      <c r="AB303" s="609">
        <f>D303*'Don gia XCSDL DC'!$K$9</f>
        <v>7481.6719460494623</v>
      </c>
      <c r="AC303" s="609" t="e">
        <f>D303*'Don gia XCSDL DC'!#REF!</f>
        <v>#REF!</v>
      </c>
      <c r="AD303" s="609">
        <f>D303*'Don gia XCSDL DC'!$K$10</f>
        <v>30126.647815215798</v>
      </c>
      <c r="AE303" s="609">
        <f>J303*'Don gia XCSDL DC'!$K$11</f>
        <v>0</v>
      </c>
      <c r="AF303" s="609" t="e">
        <f>S303*'Don gia XCSDL DC'!#REF!</f>
        <v>#REF!</v>
      </c>
      <c r="AG303" s="609" t="e">
        <f>D303*'Don gia XCSDL DC'!#REF!</f>
        <v>#REF!</v>
      </c>
      <c r="AH303" s="609" t="e">
        <f>J303*'Don gia XCSDL DC'!#REF!</f>
        <v>#REF!</v>
      </c>
      <c r="AI303" s="609" t="e">
        <f>D303*'Don gia XCSDL DC'!#REF!</f>
        <v>#REF!</v>
      </c>
      <c r="AJ303" s="609">
        <f>S303*2*'Don gia XCSDL DC'!$K$24</f>
        <v>1147300788.1259503</v>
      </c>
      <c r="AK303" s="609" t="e">
        <f>S303*3*'Don gia XCSDL DC'!#REF!</f>
        <v>#REF!</v>
      </c>
      <c r="AL303" s="609" t="e">
        <f>(S303*2+S303*3)*('Don gia XCSDL DC'!#REF!+'Don gia XCSDL DC'!#REF!+'Don gia XCSDL DC'!#REF!)</f>
        <v>#REF!</v>
      </c>
      <c r="AM303" s="609" t="e">
        <f>O303*'Don gia XCSDL DC'!#REF!*50%</f>
        <v>#REF!</v>
      </c>
      <c r="AN303" s="609" t="e">
        <f>T303*'Don gia XCSDL DC'!#REF!*$AN$8</f>
        <v>#REF!</v>
      </c>
      <c r="AO303" s="609" t="e">
        <f>U303*'Don gia XCSDL DC'!#REF!*1</f>
        <v>#REF!</v>
      </c>
      <c r="AP303" s="609" t="e">
        <f>P303*X303*'Don gia XCSDL DC'!#REF!</f>
        <v>#REF!</v>
      </c>
      <c r="AQ303" s="609" t="e">
        <f>Q303*$AQ$8*'Don gia XCSDL DC'!#REF!</f>
        <v>#REF!</v>
      </c>
      <c r="AR303" s="609" t="e">
        <f>M303*$AR$8*'Don gia XCSDL DC'!#REF!</f>
        <v>#REF!</v>
      </c>
      <c r="AS303" s="609" t="e">
        <f>J303*'Don gia XCSDL DC'!#REF!</f>
        <v>#REF!</v>
      </c>
      <c r="AT303" s="609">
        <f>D303*'Don gia XCSDL DC'!$K$26</f>
        <v>0</v>
      </c>
      <c r="AU303" s="609">
        <f>J303*'Don gia XCSDL DC'!$K$34</f>
        <v>0</v>
      </c>
      <c r="AV303" s="609">
        <f>O303*'Don gia XCSDL DC'!$K$37</f>
        <v>0</v>
      </c>
      <c r="AW303" s="610" t="e">
        <f t="shared" si="155"/>
        <v>#REF!</v>
      </c>
      <c r="AX303" s="611" t="e">
        <f t="shared" si="156"/>
        <v>#REF!</v>
      </c>
      <c r="AY303" s="806" t="e">
        <f t="shared" si="152"/>
        <v>#REF!</v>
      </c>
      <c r="AZ303" s="612" t="e">
        <f>D303*'Don gia XCSDL DC'!#REF!</f>
        <v>#REF!</v>
      </c>
      <c r="BA303" s="613" t="e">
        <f>(Q303+M303)*'Don gia XCSDL DC'!#REF!</f>
        <v>#REF!</v>
      </c>
    </row>
    <row r="304" spans="1:53" ht="24.75" customHeight="1">
      <c r="A304" s="599"/>
      <c r="B304" s="445">
        <v>6</v>
      </c>
      <c r="C304" s="445" t="s">
        <v>560</v>
      </c>
      <c r="D304" s="600">
        <v>15</v>
      </c>
      <c r="E304" s="561">
        <v>15</v>
      </c>
      <c r="F304" s="561">
        <v>1</v>
      </c>
      <c r="G304" s="602">
        <v>1</v>
      </c>
      <c r="H304" s="561"/>
      <c r="I304" s="561"/>
      <c r="J304" s="658">
        <v>130732</v>
      </c>
      <c r="K304" s="658">
        <v>77018</v>
      </c>
      <c r="L304" s="658">
        <f>118732/4*4+12000</f>
        <v>130732</v>
      </c>
      <c r="M304" s="595">
        <f t="shared" si="163"/>
        <v>13073.2</v>
      </c>
      <c r="N304" s="658">
        <f t="shared" si="157"/>
        <v>117658.8</v>
      </c>
      <c r="O304" s="658">
        <f t="shared" si="158"/>
        <v>115187.96520000001</v>
      </c>
      <c r="P304" s="658">
        <f t="shared" si="159"/>
        <v>71651.965200000006</v>
      </c>
      <c r="Q304" s="658">
        <f t="shared" si="160"/>
        <v>2470.8347999999969</v>
      </c>
      <c r="R304" s="658"/>
      <c r="S304" s="658">
        <v>63209</v>
      </c>
      <c r="T304" s="621">
        <f>S304*0.05</f>
        <v>3160.4500000000003</v>
      </c>
      <c r="U304" s="665">
        <f>130608/3-T304</f>
        <v>40375.550000000003</v>
      </c>
      <c r="V304" s="658">
        <f t="shared" si="161"/>
        <v>19673</v>
      </c>
      <c r="W304" s="658"/>
      <c r="X304" s="607">
        <f t="shared" si="150"/>
        <v>0.41649656720274342</v>
      </c>
      <c r="Y304" s="608">
        <f t="shared" si="162"/>
        <v>758508</v>
      </c>
      <c r="AA304" s="609">
        <f>D304*'Don gia XCSDL DC'!$K$8</f>
        <v>6918.9011215142309</v>
      </c>
      <c r="AB304" s="609">
        <f>D304*'Don gia XCSDL DC'!$K$9</f>
        <v>6601.4752465142319</v>
      </c>
      <c r="AC304" s="609" t="e">
        <f>D304*'Don gia XCSDL DC'!#REF!</f>
        <v>#REF!</v>
      </c>
      <c r="AD304" s="609">
        <f>D304*'Don gia XCSDL DC'!$K$10</f>
        <v>26582.336307543348</v>
      </c>
      <c r="AE304" s="609">
        <f>J304*'Don gia XCSDL DC'!$K$11</f>
        <v>0</v>
      </c>
      <c r="AF304" s="609" t="e">
        <f>S304*'Don gia XCSDL DC'!#REF!</f>
        <v>#REF!</v>
      </c>
      <c r="AG304" s="609" t="e">
        <f>D304*'Don gia XCSDL DC'!#REF!</f>
        <v>#REF!</v>
      </c>
      <c r="AH304" s="609" t="e">
        <f>J304*'Don gia XCSDL DC'!#REF!</f>
        <v>#REF!</v>
      </c>
      <c r="AI304" s="609" t="e">
        <f>D304*'Don gia XCSDL DC'!#REF!</f>
        <v>#REF!</v>
      </c>
      <c r="AJ304" s="609">
        <f>S304*2*'Don gia XCSDL DC'!$K$24</f>
        <v>1080948225.7397366</v>
      </c>
      <c r="AK304" s="609" t="e">
        <f>S304*3*'Don gia XCSDL DC'!#REF!</f>
        <v>#REF!</v>
      </c>
      <c r="AL304" s="609" t="e">
        <f>(S304*2+S304*3)*('Don gia XCSDL DC'!#REF!+'Don gia XCSDL DC'!#REF!+'Don gia XCSDL DC'!#REF!)</f>
        <v>#REF!</v>
      </c>
      <c r="AM304" s="609" t="e">
        <f>O304*'Don gia XCSDL DC'!#REF!*50%</f>
        <v>#REF!</v>
      </c>
      <c r="AN304" s="609" t="e">
        <f>T304*'Don gia XCSDL DC'!#REF!*$AN$8</f>
        <v>#REF!</v>
      </c>
      <c r="AO304" s="609" t="e">
        <f>U304*'Don gia XCSDL DC'!#REF!*1</f>
        <v>#REF!</v>
      </c>
      <c r="AP304" s="609" t="e">
        <f>P304*X304*'Don gia XCSDL DC'!#REF!</f>
        <v>#REF!</v>
      </c>
      <c r="AQ304" s="609" t="e">
        <f>Q304*$AQ$8*'Don gia XCSDL DC'!#REF!</f>
        <v>#REF!</v>
      </c>
      <c r="AR304" s="609" t="e">
        <f>M304*$AR$8*'Don gia XCSDL DC'!#REF!</f>
        <v>#REF!</v>
      </c>
      <c r="AS304" s="609" t="e">
        <f>J304*'Don gia XCSDL DC'!#REF!</f>
        <v>#REF!</v>
      </c>
      <c r="AT304" s="609">
        <f>D304*'Don gia XCSDL DC'!$K$26</f>
        <v>0</v>
      </c>
      <c r="AU304" s="609">
        <f>J304*'Don gia XCSDL DC'!$K$34</f>
        <v>0</v>
      </c>
      <c r="AV304" s="609">
        <f>O304*'Don gia XCSDL DC'!$K$37</f>
        <v>0</v>
      </c>
      <c r="AW304" s="610" t="e">
        <f t="shared" si="155"/>
        <v>#REF!</v>
      </c>
      <c r="AX304" s="611" t="e">
        <f t="shared" si="156"/>
        <v>#REF!</v>
      </c>
      <c r="AY304" s="806" t="e">
        <f t="shared" si="152"/>
        <v>#REF!</v>
      </c>
      <c r="AZ304" s="612" t="e">
        <f>D304*'Don gia XCSDL DC'!#REF!</f>
        <v>#REF!</v>
      </c>
      <c r="BA304" s="613" t="e">
        <f>(Q304+M304)*'Don gia XCSDL DC'!#REF!</f>
        <v>#REF!</v>
      </c>
    </row>
    <row r="305" spans="1:53" s="723" customFormat="1" ht="24.75" customHeight="1">
      <c r="A305" s="712"/>
      <c r="B305" s="713"/>
      <c r="C305" s="713" t="s">
        <v>561</v>
      </c>
      <c r="D305" s="714">
        <v>11</v>
      </c>
      <c r="E305" s="775"/>
      <c r="F305" s="775"/>
      <c r="G305" s="775">
        <v>1</v>
      </c>
      <c r="H305" s="775"/>
      <c r="I305" s="775"/>
      <c r="J305" s="778">
        <v>128076</v>
      </c>
      <c r="K305" s="778"/>
      <c r="L305" s="778"/>
      <c r="M305" s="777"/>
      <c r="N305" s="778"/>
      <c r="O305" s="778"/>
      <c r="P305" s="778"/>
      <c r="Q305" s="778"/>
      <c r="R305" s="778"/>
      <c r="S305" s="778"/>
      <c r="T305" s="778"/>
      <c r="U305" s="730"/>
      <c r="V305" s="778"/>
      <c r="W305" s="778"/>
      <c r="X305" s="721"/>
      <c r="Y305" s="722"/>
      <c r="AA305" s="609"/>
      <c r="AB305" s="609"/>
      <c r="AC305" s="609"/>
      <c r="AD305" s="724"/>
      <c r="AE305" s="724"/>
      <c r="AF305" s="724"/>
      <c r="AG305" s="724"/>
      <c r="AH305" s="724"/>
      <c r="AI305" s="724"/>
      <c r="AJ305" s="724"/>
      <c r="AK305" s="724"/>
      <c r="AL305" s="724"/>
      <c r="AM305" s="724"/>
      <c r="AN305" s="724"/>
      <c r="AO305" s="724"/>
      <c r="AP305" s="724"/>
      <c r="AQ305" s="724"/>
      <c r="AR305" s="724"/>
      <c r="AS305" s="724"/>
      <c r="AT305" s="724"/>
      <c r="AU305" s="724"/>
      <c r="AV305" s="609"/>
      <c r="AW305" s="610"/>
      <c r="AX305" s="611"/>
      <c r="AY305" s="807"/>
      <c r="AZ305" s="612"/>
      <c r="BA305" s="613"/>
    </row>
    <row r="306" spans="1:53" s="723" customFormat="1" ht="24.75" customHeight="1">
      <c r="A306" s="712"/>
      <c r="B306" s="713"/>
      <c r="C306" s="713" t="s">
        <v>516</v>
      </c>
      <c r="D306" s="714">
        <v>14</v>
      </c>
      <c r="E306" s="775"/>
      <c r="F306" s="775"/>
      <c r="G306" s="775">
        <v>1</v>
      </c>
      <c r="H306" s="775"/>
      <c r="I306" s="775"/>
      <c r="J306" s="778">
        <v>107802</v>
      </c>
      <c r="K306" s="778"/>
      <c r="L306" s="778"/>
      <c r="M306" s="777"/>
      <c r="N306" s="778"/>
      <c r="O306" s="778"/>
      <c r="P306" s="778"/>
      <c r="Q306" s="778"/>
      <c r="R306" s="778"/>
      <c r="S306" s="778"/>
      <c r="T306" s="778"/>
      <c r="U306" s="730"/>
      <c r="V306" s="778"/>
      <c r="W306" s="778"/>
      <c r="X306" s="721"/>
      <c r="Y306" s="722"/>
      <c r="AA306" s="609"/>
      <c r="AB306" s="609"/>
      <c r="AC306" s="609"/>
      <c r="AD306" s="724"/>
      <c r="AE306" s="724"/>
      <c r="AF306" s="724"/>
      <c r="AG306" s="724"/>
      <c r="AH306" s="724"/>
      <c r="AI306" s="724"/>
      <c r="AJ306" s="724"/>
      <c r="AK306" s="724"/>
      <c r="AL306" s="724"/>
      <c r="AM306" s="724"/>
      <c r="AN306" s="724"/>
      <c r="AO306" s="724"/>
      <c r="AP306" s="724"/>
      <c r="AQ306" s="724"/>
      <c r="AR306" s="724"/>
      <c r="AS306" s="724"/>
      <c r="AT306" s="724"/>
      <c r="AU306" s="724"/>
      <c r="AV306" s="609"/>
      <c r="AW306" s="610"/>
      <c r="AX306" s="611"/>
      <c r="AY306" s="807"/>
      <c r="AZ306" s="612"/>
      <c r="BA306" s="613"/>
    </row>
    <row r="307" spans="1:53" s="723" customFormat="1" ht="24.75" customHeight="1">
      <c r="A307" s="712"/>
      <c r="B307" s="713"/>
      <c r="C307" s="713" t="s">
        <v>562</v>
      </c>
      <c r="D307" s="714">
        <v>14</v>
      </c>
      <c r="E307" s="775">
        <v>14</v>
      </c>
      <c r="F307" s="775"/>
      <c r="G307" s="775">
        <v>1</v>
      </c>
      <c r="H307" s="775"/>
      <c r="I307" s="775"/>
      <c r="J307" s="778">
        <v>111560</v>
      </c>
      <c r="K307" s="716"/>
      <c r="L307" s="734">
        <v>111560</v>
      </c>
      <c r="M307" s="777"/>
      <c r="N307" s="778"/>
      <c r="O307" s="778"/>
      <c r="P307" s="778"/>
      <c r="Q307" s="778"/>
      <c r="R307" s="778"/>
      <c r="S307" s="778"/>
      <c r="T307" s="778"/>
      <c r="U307" s="730"/>
      <c r="V307" s="778"/>
      <c r="W307" s="778"/>
      <c r="X307" s="721"/>
      <c r="Y307" s="722"/>
      <c r="AA307" s="609"/>
      <c r="AB307" s="609"/>
      <c r="AC307" s="609"/>
      <c r="AD307" s="724"/>
      <c r="AE307" s="724"/>
      <c r="AF307" s="724"/>
      <c r="AG307" s="724"/>
      <c r="AH307" s="724"/>
      <c r="AI307" s="724"/>
      <c r="AJ307" s="724"/>
      <c r="AK307" s="724"/>
      <c r="AL307" s="724"/>
      <c r="AM307" s="724"/>
      <c r="AN307" s="724"/>
      <c r="AO307" s="724"/>
      <c r="AP307" s="724"/>
      <c r="AQ307" s="724"/>
      <c r="AR307" s="724"/>
      <c r="AS307" s="724"/>
      <c r="AT307" s="724"/>
      <c r="AU307" s="724"/>
      <c r="AV307" s="609"/>
      <c r="AW307" s="610"/>
      <c r="AX307" s="611"/>
      <c r="AY307" s="807"/>
      <c r="AZ307" s="612"/>
      <c r="BA307" s="613"/>
    </row>
    <row r="308" spans="1:53" s="598" customFormat="1" ht="24.75" customHeight="1">
      <c r="A308" s="589">
        <v>6</v>
      </c>
      <c r="B308" s="1945" t="s">
        <v>563</v>
      </c>
      <c r="C308" s="1945"/>
      <c r="D308" s="594"/>
      <c r="E308" s="595">
        <f>SUM(E309)</f>
        <v>6</v>
      </c>
      <c r="F308" s="595">
        <f>SUM(F309)</f>
        <v>1</v>
      </c>
      <c r="G308" s="596">
        <f>SUM(G309:G317)</f>
        <v>9</v>
      </c>
      <c r="H308" s="595">
        <v>9</v>
      </c>
      <c r="I308" s="595"/>
      <c r="J308" s="595">
        <f>SUM(J309)</f>
        <v>83766.600000000006</v>
      </c>
      <c r="K308" s="595"/>
      <c r="L308" s="595"/>
      <c r="M308" s="595">
        <f>J308*15%</f>
        <v>12564.99</v>
      </c>
      <c r="N308" s="658">
        <f>J308-M308</f>
        <v>71201.61</v>
      </c>
      <c r="O308" s="658"/>
      <c r="P308" s="658"/>
      <c r="Q308" s="658"/>
      <c r="R308" s="658"/>
      <c r="S308" s="595">
        <v>662432</v>
      </c>
      <c r="T308" s="702">
        <f>ROUND(S308/H308*F308,0)</f>
        <v>73604</v>
      </c>
      <c r="U308" s="621">
        <f>$J308*$W$300</f>
        <v>0</v>
      </c>
      <c r="V308" s="658">
        <f>S308-T308-U308</f>
        <v>588828</v>
      </c>
      <c r="W308" s="597">
        <v>0.96699999999999997</v>
      </c>
      <c r="X308" s="607"/>
      <c r="Y308" s="608">
        <f>S308*12</f>
        <v>7949184</v>
      </c>
      <c r="AA308" s="609"/>
      <c r="AB308" s="609"/>
      <c r="AC308" s="609"/>
      <c r="AD308" s="609"/>
      <c r="AE308" s="609"/>
      <c r="AF308" s="609"/>
      <c r="AG308" s="609"/>
      <c r="AH308" s="609"/>
      <c r="AI308" s="609"/>
      <c r="AJ308" s="609"/>
      <c r="AK308" s="609"/>
      <c r="AL308" s="609"/>
      <c r="AM308" s="609"/>
      <c r="AN308" s="609"/>
      <c r="AO308" s="609"/>
      <c r="AP308" s="609"/>
      <c r="AQ308" s="609"/>
      <c r="AR308" s="609"/>
      <c r="AS308" s="609"/>
      <c r="AT308" s="609"/>
      <c r="AU308" s="609"/>
      <c r="AV308" s="609"/>
      <c r="AW308" s="610"/>
      <c r="AX308" s="611"/>
      <c r="AY308" s="806"/>
      <c r="AZ308" s="612"/>
      <c r="BA308" s="613"/>
    </row>
    <row r="309" spans="1:53" ht="24.75" customHeight="1">
      <c r="A309" s="599"/>
      <c r="B309" s="445">
        <v>1</v>
      </c>
      <c r="C309" s="445" t="s">
        <v>564</v>
      </c>
      <c r="D309" s="600">
        <v>17</v>
      </c>
      <c r="E309" s="561">
        <v>6</v>
      </c>
      <c r="F309" s="561">
        <v>1</v>
      </c>
      <c r="G309" s="602">
        <v>1</v>
      </c>
      <c r="H309" s="561"/>
      <c r="I309" s="561"/>
      <c r="J309" s="621">
        <f>46537*1.8</f>
        <v>83766.600000000006</v>
      </c>
      <c r="K309" s="658">
        <v>78386</v>
      </c>
      <c r="L309" s="658">
        <f>54131/4*3+(61968*1.5)</f>
        <v>133550.25</v>
      </c>
      <c r="M309" s="595">
        <f>J309*5%</f>
        <v>4188.3300000000008</v>
      </c>
      <c r="N309" s="658">
        <v>45877</v>
      </c>
      <c r="O309" s="658">
        <v>38625</v>
      </c>
      <c r="P309" s="658">
        <f>O309-T309-U309</f>
        <v>2500</v>
      </c>
      <c r="Q309" s="658">
        <f>N309-O309</f>
        <v>7252</v>
      </c>
      <c r="R309" s="658"/>
      <c r="S309" s="707">
        <f>77250/2</f>
        <v>38625</v>
      </c>
      <c r="T309" s="621">
        <f>S309*0.1</f>
        <v>3862.5</v>
      </c>
      <c r="U309" s="665">
        <f>S309-T309-2500</f>
        <v>32262.5</v>
      </c>
      <c r="V309" s="658"/>
      <c r="W309" s="658"/>
      <c r="X309" s="607">
        <f t="shared" si="150"/>
        <v>0.19565217391304349</v>
      </c>
      <c r="Y309" s="608">
        <f>S309*12</f>
        <v>463500</v>
      </c>
      <c r="AA309" s="609">
        <f>D309*'Don gia XCSDL DC'!$K$8</f>
        <v>7841.4212710494612</v>
      </c>
      <c r="AB309" s="609">
        <f>D309*'Don gia XCSDL DC'!$K$9</f>
        <v>7481.6719460494623</v>
      </c>
      <c r="AC309" s="609" t="e">
        <f>D309*'Don gia XCSDL DC'!#REF!</f>
        <v>#REF!</v>
      </c>
      <c r="AD309" s="609">
        <f>D309*'Don gia XCSDL DC'!$K$10</f>
        <v>30126.647815215798</v>
      </c>
      <c r="AE309" s="609">
        <f>J309*'Don gia XCSDL DC'!$K$11</f>
        <v>0</v>
      </c>
      <c r="AF309" s="609" t="e">
        <f>S309*'Don gia XCSDL DC'!#REF!</f>
        <v>#REF!</v>
      </c>
      <c r="AG309" s="609" t="e">
        <f>D309*'Don gia XCSDL DC'!#REF!</f>
        <v>#REF!</v>
      </c>
      <c r="AH309" s="609" t="e">
        <f>J309*'Don gia XCSDL DC'!#REF!</f>
        <v>#REF!</v>
      </c>
      <c r="AI309" s="609" t="e">
        <f>D309*'Don gia XCSDL DC'!#REF!</f>
        <v>#REF!</v>
      </c>
      <c r="AJ309" s="609">
        <f>S309*2*'Don gia XCSDL DC'!$K$24</f>
        <v>660532918.08440769</v>
      </c>
      <c r="AK309" s="609" t="e">
        <f>S309*3*'Don gia XCSDL DC'!#REF!</f>
        <v>#REF!</v>
      </c>
      <c r="AL309" s="609" t="e">
        <f>(S309*2+S309*3)*('Don gia XCSDL DC'!#REF!+'Don gia XCSDL DC'!#REF!+'Don gia XCSDL DC'!#REF!)</f>
        <v>#REF!</v>
      </c>
      <c r="AM309" s="609" t="e">
        <f>O309*'Don gia XCSDL DC'!#REF!*50%</f>
        <v>#REF!</v>
      </c>
      <c r="AN309" s="609" t="e">
        <f>T309*'Don gia XCSDL DC'!#REF!*$AN$8</f>
        <v>#REF!</v>
      </c>
      <c r="AO309" s="609" t="e">
        <f>U309*'Don gia XCSDL DC'!#REF!*1</f>
        <v>#REF!</v>
      </c>
      <c r="AP309" s="609" t="e">
        <f>P309*X309*'Don gia XCSDL DC'!#REF!</f>
        <v>#REF!</v>
      </c>
      <c r="AQ309" s="609" t="e">
        <f>Q309*$AQ$8*'Don gia XCSDL DC'!#REF!</f>
        <v>#REF!</v>
      </c>
      <c r="AR309" s="609" t="e">
        <f>M309*$AR$8*'Don gia XCSDL DC'!#REF!</f>
        <v>#REF!</v>
      </c>
      <c r="AS309" s="609" t="e">
        <f>J309*'Don gia XCSDL DC'!#REF!</f>
        <v>#REF!</v>
      </c>
      <c r="AT309" s="609">
        <f>D309*'Don gia XCSDL DC'!$K$26</f>
        <v>0</v>
      </c>
      <c r="AU309" s="609">
        <f>J309*'Don gia XCSDL DC'!$K$34</f>
        <v>0</v>
      </c>
      <c r="AV309" s="609">
        <f>O309*'Don gia XCSDL DC'!$K$37</f>
        <v>0</v>
      </c>
      <c r="AW309" s="610" t="e">
        <f t="shared" si="155"/>
        <v>#REF!</v>
      </c>
      <c r="AX309" s="611" t="e">
        <f t="shared" si="156"/>
        <v>#REF!</v>
      </c>
      <c r="AY309" s="806" t="e">
        <f t="shared" si="152"/>
        <v>#REF!</v>
      </c>
      <c r="AZ309" s="612" t="e">
        <f>D309*'Don gia XCSDL DC'!#REF!</f>
        <v>#REF!</v>
      </c>
      <c r="BA309" s="613" t="e">
        <f>(Q309+M309)*'Don gia XCSDL DC'!#REF!</f>
        <v>#REF!</v>
      </c>
    </row>
    <row r="310" spans="1:53" s="723" customFormat="1" ht="24.75" customHeight="1">
      <c r="A310" s="712"/>
      <c r="B310" s="713"/>
      <c r="C310" s="780" t="s">
        <v>516</v>
      </c>
      <c r="D310" s="781">
        <v>22</v>
      </c>
      <c r="E310" s="788">
        <v>22</v>
      </c>
      <c r="F310" s="775"/>
      <c r="G310" s="775">
        <v>1</v>
      </c>
      <c r="H310" s="775"/>
      <c r="I310" s="775"/>
      <c r="J310" s="730">
        <v>91435</v>
      </c>
      <c r="K310" s="716"/>
      <c r="L310" s="756">
        <v>87610.936708860754</v>
      </c>
      <c r="M310" s="777"/>
      <c r="N310" s="778"/>
      <c r="O310" s="778"/>
      <c r="P310" s="778"/>
      <c r="Q310" s="778"/>
      <c r="R310" s="778"/>
      <c r="S310" s="778"/>
      <c r="T310" s="778"/>
      <c r="U310" s="730"/>
      <c r="V310" s="778"/>
      <c r="W310" s="778"/>
      <c r="X310" s="721"/>
      <c r="Y310" s="722"/>
      <c r="AA310" s="609"/>
      <c r="AB310" s="609"/>
      <c r="AC310" s="609"/>
      <c r="AD310" s="724"/>
      <c r="AE310" s="724"/>
      <c r="AF310" s="724"/>
      <c r="AG310" s="724"/>
      <c r="AH310" s="724"/>
      <c r="AI310" s="724"/>
      <c r="AJ310" s="724"/>
      <c r="AK310" s="724"/>
      <c r="AL310" s="724"/>
      <c r="AM310" s="724"/>
      <c r="AN310" s="724"/>
      <c r="AO310" s="724"/>
      <c r="AP310" s="724"/>
      <c r="AQ310" s="724"/>
      <c r="AR310" s="724"/>
      <c r="AS310" s="724"/>
      <c r="AT310" s="724"/>
      <c r="AU310" s="724"/>
      <c r="AV310" s="609"/>
      <c r="AW310" s="610"/>
      <c r="AX310" s="611"/>
      <c r="AY310" s="807"/>
      <c r="AZ310" s="612"/>
      <c r="BA310" s="613"/>
    </row>
    <row r="311" spans="1:53" s="723" customFormat="1" ht="24.75" customHeight="1">
      <c r="A311" s="712"/>
      <c r="B311" s="713"/>
      <c r="C311" s="780" t="s">
        <v>565</v>
      </c>
      <c r="D311" s="781">
        <v>11</v>
      </c>
      <c r="E311" s="788">
        <v>11</v>
      </c>
      <c r="F311" s="775"/>
      <c r="G311" s="775">
        <v>1</v>
      </c>
      <c r="H311" s="775"/>
      <c r="I311" s="775"/>
      <c r="J311" s="730">
        <v>64207</v>
      </c>
      <c r="K311" s="716"/>
      <c r="L311" s="756">
        <v>47690</v>
      </c>
      <c r="M311" s="777"/>
      <c r="N311" s="778"/>
      <c r="O311" s="778"/>
      <c r="P311" s="778"/>
      <c r="Q311" s="778"/>
      <c r="R311" s="778"/>
      <c r="S311" s="778"/>
      <c r="T311" s="778"/>
      <c r="U311" s="730"/>
      <c r="V311" s="778"/>
      <c r="W311" s="778"/>
      <c r="X311" s="721"/>
      <c r="Y311" s="722"/>
      <c r="AA311" s="609"/>
      <c r="AB311" s="609"/>
      <c r="AC311" s="609"/>
      <c r="AD311" s="724"/>
      <c r="AE311" s="724"/>
      <c r="AF311" s="724"/>
      <c r="AG311" s="724"/>
      <c r="AH311" s="724"/>
      <c r="AI311" s="724"/>
      <c r="AJ311" s="724"/>
      <c r="AK311" s="724"/>
      <c r="AL311" s="724"/>
      <c r="AM311" s="724"/>
      <c r="AN311" s="724"/>
      <c r="AO311" s="724"/>
      <c r="AP311" s="724"/>
      <c r="AQ311" s="724"/>
      <c r="AR311" s="724"/>
      <c r="AS311" s="724"/>
      <c r="AT311" s="724"/>
      <c r="AU311" s="724"/>
      <c r="AV311" s="609"/>
      <c r="AW311" s="610"/>
      <c r="AX311" s="611"/>
      <c r="AY311" s="807"/>
      <c r="AZ311" s="612"/>
      <c r="BA311" s="613"/>
    </row>
    <row r="312" spans="1:53" s="723" customFormat="1" ht="24.75" customHeight="1">
      <c r="A312" s="712"/>
      <c r="B312" s="713"/>
      <c r="C312" s="780" t="s">
        <v>566</v>
      </c>
      <c r="D312" s="781">
        <v>17</v>
      </c>
      <c r="E312" s="788">
        <v>17</v>
      </c>
      <c r="F312" s="775"/>
      <c r="G312" s="775">
        <v>1</v>
      </c>
      <c r="H312" s="775"/>
      <c r="I312" s="775"/>
      <c r="J312" s="730">
        <v>97271</v>
      </c>
      <c r="K312" s="716"/>
      <c r="L312" s="756">
        <v>58545</v>
      </c>
      <c r="M312" s="777"/>
      <c r="N312" s="778"/>
      <c r="O312" s="778"/>
      <c r="P312" s="778"/>
      <c r="Q312" s="778"/>
      <c r="R312" s="778"/>
      <c r="S312" s="778"/>
      <c r="T312" s="778"/>
      <c r="U312" s="730"/>
      <c r="V312" s="778"/>
      <c r="W312" s="778"/>
      <c r="X312" s="721"/>
      <c r="Y312" s="722"/>
      <c r="AA312" s="609"/>
      <c r="AB312" s="609"/>
      <c r="AC312" s="609"/>
      <c r="AD312" s="724"/>
      <c r="AE312" s="724"/>
      <c r="AF312" s="724"/>
      <c r="AG312" s="724"/>
      <c r="AH312" s="724"/>
      <c r="AI312" s="724"/>
      <c r="AJ312" s="724"/>
      <c r="AK312" s="724"/>
      <c r="AL312" s="724"/>
      <c r="AM312" s="724"/>
      <c r="AN312" s="724"/>
      <c r="AO312" s="724"/>
      <c r="AP312" s="724"/>
      <c r="AQ312" s="724"/>
      <c r="AR312" s="724"/>
      <c r="AS312" s="724"/>
      <c r="AT312" s="724"/>
      <c r="AU312" s="724"/>
      <c r="AV312" s="609"/>
      <c r="AW312" s="610"/>
      <c r="AX312" s="611"/>
      <c r="AY312" s="807"/>
      <c r="AZ312" s="612"/>
      <c r="BA312" s="613"/>
    </row>
    <row r="313" spans="1:53" s="723" customFormat="1" ht="24.75" customHeight="1">
      <c r="A313" s="712"/>
      <c r="B313" s="713"/>
      <c r="C313" s="780" t="s">
        <v>567</v>
      </c>
      <c r="D313" s="781">
        <v>22</v>
      </c>
      <c r="E313" s="788">
        <v>22</v>
      </c>
      <c r="F313" s="775"/>
      <c r="G313" s="775">
        <v>1</v>
      </c>
      <c r="H313" s="775"/>
      <c r="I313" s="775"/>
      <c r="J313" s="730">
        <v>116884</v>
      </c>
      <c r="K313" s="716"/>
      <c r="L313" s="756">
        <v>121638.39873417722</v>
      </c>
      <c r="M313" s="777"/>
      <c r="N313" s="778"/>
      <c r="O313" s="778"/>
      <c r="P313" s="778"/>
      <c r="Q313" s="778"/>
      <c r="R313" s="778"/>
      <c r="S313" s="778"/>
      <c r="T313" s="778"/>
      <c r="U313" s="730"/>
      <c r="V313" s="778"/>
      <c r="W313" s="778"/>
      <c r="X313" s="721"/>
      <c r="Y313" s="722"/>
      <c r="AA313" s="609"/>
      <c r="AB313" s="609"/>
      <c r="AC313" s="609"/>
      <c r="AD313" s="724"/>
      <c r="AE313" s="724"/>
      <c r="AF313" s="724"/>
      <c r="AG313" s="724"/>
      <c r="AH313" s="724"/>
      <c r="AI313" s="724"/>
      <c r="AJ313" s="724"/>
      <c r="AK313" s="724"/>
      <c r="AL313" s="724"/>
      <c r="AM313" s="724"/>
      <c r="AN313" s="724"/>
      <c r="AO313" s="724"/>
      <c r="AP313" s="724"/>
      <c r="AQ313" s="724"/>
      <c r="AR313" s="724"/>
      <c r="AS313" s="724"/>
      <c r="AT313" s="724"/>
      <c r="AU313" s="724"/>
      <c r="AV313" s="609"/>
      <c r="AW313" s="610"/>
      <c r="AX313" s="611"/>
      <c r="AY313" s="807"/>
      <c r="AZ313" s="612"/>
      <c r="BA313" s="613"/>
    </row>
    <row r="314" spans="1:53" s="723" customFormat="1" ht="24.75" customHeight="1">
      <c r="A314" s="712"/>
      <c r="B314" s="713"/>
      <c r="C314" s="780" t="s">
        <v>568</v>
      </c>
      <c r="D314" s="781">
        <v>20</v>
      </c>
      <c r="E314" s="788">
        <v>20</v>
      </c>
      <c r="F314" s="775"/>
      <c r="G314" s="775">
        <v>1</v>
      </c>
      <c r="H314" s="775"/>
      <c r="I314" s="775"/>
      <c r="J314" s="730">
        <v>93915</v>
      </c>
      <c r="K314" s="716"/>
      <c r="L314" s="756">
        <v>150581.29746835443</v>
      </c>
      <c r="M314" s="777"/>
      <c r="N314" s="778"/>
      <c r="O314" s="778"/>
      <c r="P314" s="778"/>
      <c r="Q314" s="778"/>
      <c r="R314" s="778"/>
      <c r="S314" s="778"/>
      <c r="T314" s="778"/>
      <c r="U314" s="773"/>
      <c r="V314" s="778"/>
      <c r="W314" s="778"/>
      <c r="X314" s="721"/>
      <c r="Y314" s="722"/>
      <c r="AA314" s="609"/>
      <c r="AB314" s="609"/>
      <c r="AC314" s="609"/>
      <c r="AD314" s="724"/>
      <c r="AE314" s="724"/>
      <c r="AF314" s="724"/>
      <c r="AG314" s="724"/>
      <c r="AH314" s="724"/>
      <c r="AI314" s="724"/>
      <c r="AJ314" s="724"/>
      <c r="AK314" s="724"/>
      <c r="AL314" s="724"/>
      <c r="AM314" s="724"/>
      <c r="AN314" s="724"/>
      <c r="AO314" s="724"/>
      <c r="AP314" s="724"/>
      <c r="AQ314" s="724"/>
      <c r="AR314" s="724"/>
      <c r="AS314" s="724"/>
      <c r="AT314" s="724"/>
      <c r="AU314" s="724"/>
      <c r="AV314" s="609"/>
      <c r="AW314" s="610"/>
      <c r="AX314" s="611"/>
      <c r="AY314" s="807"/>
      <c r="AZ314" s="612"/>
      <c r="BA314" s="613"/>
    </row>
    <row r="315" spans="1:53" s="723" customFormat="1" ht="24.75" customHeight="1">
      <c r="A315" s="712"/>
      <c r="B315" s="713"/>
      <c r="C315" s="780" t="s">
        <v>569</v>
      </c>
      <c r="D315" s="781">
        <v>24</v>
      </c>
      <c r="E315" s="788">
        <v>24</v>
      </c>
      <c r="F315" s="775"/>
      <c r="G315" s="775">
        <v>1</v>
      </c>
      <c r="H315" s="775"/>
      <c r="I315" s="775"/>
      <c r="J315" s="730">
        <v>154659</v>
      </c>
      <c r="K315" s="716"/>
      <c r="L315" s="756">
        <f>142195</f>
        <v>142195</v>
      </c>
      <c r="M315" s="777"/>
      <c r="N315" s="778"/>
      <c r="O315" s="778"/>
      <c r="P315" s="778"/>
      <c r="Q315" s="778"/>
      <c r="R315" s="778"/>
      <c r="S315" s="778"/>
      <c r="T315" s="778"/>
      <c r="U315" s="730"/>
      <c r="V315" s="778"/>
      <c r="W315" s="778"/>
      <c r="X315" s="721"/>
      <c r="Y315" s="722"/>
      <c r="AA315" s="609"/>
      <c r="AB315" s="609"/>
      <c r="AC315" s="609"/>
      <c r="AD315" s="724"/>
      <c r="AE315" s="724"/>
      <c r="AF315" s="724"/>
      <c r="AG315" s="724"/>
      <c r="AH315" s="724"/>
      <c r="AI315" s="724"/>
      <c r="AJ315" s="724"/>
      <c r="AK315" s="724"/>
      <c r="AL315" s="724"/>
      <c r="AM315" s="724"/>
      <c r="AN315" s="724"/>
      <c r="AO315" s="724"/>
      <c r="AP315" s="724"/>
      <c r="AQ315" s="724"/>
      <c r="AR315" s="724"/>
      <c r="AS315" s="724"/>
      <c r="AT315" s="724"/>
      <c r="AU315" s="724"/>
      <c r="AV315" s="609"/>
      <c r="AW315" s="610"/>
      <c r="AX315" s="611"/>
      <c r="AY315" s="807"/>
      <c r="AZ315" s="612"/>
      <c r="BA315" s="613"/>
    </row>
    <row r="316" spans="1:53" s="723" customFormat="1" ht="24.75" customHeight="1">
      <c r="A316" s="712"/>
      <c r="B316" s="713"/>
      <c r="C316" s="780" t="s">
        <v>570</v>
      </c>
      <c r="D316" s="781">
        <v>18</v>
      </c>
      <c r="E316" s="788">
        <v>18</v>
      </c>
      <c r="F316" s="775"/>
      <c r="G316" s="775">
        <v>1</v>
      </c>
      <c r="H316" s="775"/>
      <c r="I316" s="775"/>
      <c r="J316" s="730">
        <v>92756</v>
      </c>
      <c r="K316" s="716"/>
      <c r="L316" s="756">
        <v>49570</v>
      </c>
      <c r="M316" s="777"/>
      <c r="N316" s="778"/>
      <c r="O316" s="778"/>
      <c r="P316" s="778"/>
      <c r="Q316" s="778"/>
      <c r="R316" s="778"/>
      <c r="S316" s="778"/>
      <c r="T316" s="778"/>
      <c r="U316" s="730"/>
      <c r="V316" s="778"/>
      <c r="W316" s="778"/>
      <c r="X316" s="721"/>
      <c r="Y316" s="722"/>
      <c r="AA316" s="609"/>
      <c r="AB316" s="609"/>
      <c r="AC316" s="609"/>
      <c r="AD316" s="724"/>
      <c r="AE316" s="724"/>
      <c r="AF316" s="724"/>
      <c r="AG316" s="724"/>
      <c r="AH316" s="724"/>
      <c r="AI316" s="724"/>
      <c r="AJ316" s="724"/>
      <c r="AK316" s="724"/>
      <c r="AL316" s="724"/>
      <c r="AM316" s="724"/>
      <c r="AN316" s="724"/>
      <c r="AO316" s="724"/>
      <c r="AP316" s="724"/>
      <c r="AQ316" s="724"/>
      <c r="AR316" s="724"/>
      <c r="AS316" s="724"/>
      <c r="AT316" s="724"/>
      <c r="AU316" s="724"/>
      <c r="AV316" s="609"/>
      <c r="AW316" s="610"/>
      <c r="AX316" s="611"/>
      <c r="AY316" s="807"/>
      <c r="AZ316" s="612"/>
      <c r="BA316" s="613"/>
    </row>
    <row r="317" spans="1:53" s="723" customFormat="1" ht="24.75" customHeight="1">
      <c r="A317" s="712"/>
      <c r="B317" s="713"/>
      <c r="C317" s="780" t="s">
        <v>571</v>
      </c>
      <c r="D317" s="781">
        <v>13</v>
      </c>
      <c r="E317" s="788">
        <v>13</v>
      </c>
      <c r="F317" s="775"/>
      <c r="G317" s="775">
        <v>1</v>
      </c>
      <c r="H317" s="775"/>
      <c r="I317" s="775"/>
      <c r="J317" s="730">
        <v>67326</v>
      </c>
      <c r="K317" s="716"/>
      <c r="L317" s="756">
        <v>61797</v>
      </c>
      <c r="M317" s="777"/>
      <c r="N317" s="778"/>
      <c r="O317" s="778"/>
      <c r="P317" s="778"/>
      <c r="Q317" s="778"/>
      <c r="R317" s="778"/>
      <c r="S317" s="778"/>
      <c r="T317" s="778"/>
      <c r="U317" s="730"/>
      <c r="V317" s="778"/>
      <c r="W317" s="778"/>
      <c r="X317" s="721"/>
      <c r="Y317" s="722"/>
      <c r="AA317" s="609"/>
      <c r="AB317" s="609"/>
      <c r="AC317" s="609"/>
      <c r="AD317" s="724"/>
      <c r="AE317" s="724"/>
      <c r="AF317" s="724"/>
      <c r="AG317" s="724"/>
      <c r="AH317" s="724"/>
      <c r="AI317" s="724"/>
      <c r="AJ317" s="724"/>
      <c r="AK317" s="724"/>
      <c r="AL317" s="724"/>
      <c r="AM317" s="724"/>
      <c r="AN317" s="724"/>
      <c r="AO317" s="724"/>
      <c r="AP317" s="724"/>
      <c r="AQ317" s="724"/>
      <c r="AR317" s="724"/>
      <c r="AS317" s="724"/>
      <c r="AT317" s="724"/>
      <c r="AU317" s="724"/>
      <c r="AV317" s="609"/>
      <c r="AW317" s="610"/>
      <c r="AX317" s="611"/>
      <c r="AY317" s="807"/>
      <c r="AZ317" s="612"/>
      <c r="BA317" s="613"/>
    </row>
    <row r="318" spans="1:53" s="598" customFormat="1" ht="24.75" customHeight="1">
      <c r="A318" s="589">
        <v>7</v>
      </c>
      <c r="B318" s="1945" t="s">
        <v>572</v>
      </c>
      <c r="C318" s="1945"/>
      <c r="D318" s="594"/>
      <c r="E318" s="595">
        <f>SUM(E319:E328)</f>
        <v>151</v>
      </c>
      <c r="F318" s="595">
        <f>SUM(F319:F328)</f>
        <v>10</v>
      </c>
      <c r="G318" s="596">
        <f>SUM(G319:G329)</f>
        <v>11</v>
      </c>
      <c r="H318" s="595">
        <v>11</v>
      </c>
      <c r="I318" s="595"/>
      <c r="J318" s="595">
        <f>SUM(J319:J328)</f>
        <v>1249933</v>
      </c>
      <c r="K318" s="595"/>
      <c r="L318" s="595"/>
      <c r="M318" s="595">
        <f t="shared" ref="M318:M329" si="164">J318*15%</f>
        <v>187489.94999999998</v>
      </c>
      <c r="N318" s="658">
        <f t="shared" ref="N318:N329" si="165">J318-M318</f>
        <v>1062443.05</v>
      </c>
      <c r="O318" s="658">
        <f t="shared" ref="O318:O329" si="166">$N318*$W$318</f>
        <v>1013570.6697</v>
      </c>
      <c r="P318" s="658">
        <f t="shared" ref="P318:P329" si="167">O318-T318-U318</f>
        <v>337833.66969999997</v>
      </c>
      <c r="Q318" s="658">
        <f t="shared" ref="Q318:Q329" si="168">N318-O318</f>
        <v>48872.380300000077</v>
      </c>
      <c r="R318" s="658"/>
      <c r="S318" s="595">
        <v>743311</v>
      </c>
      <c r="T318" s="702">
        <f>ROUND(S318/H318*F318,0)</f>
        <v>675737</v>
      </c>
      <c r="U318" s="621">
        <f>$J318*$W$314</f>
        <v>0</v>
      </c>
      <c r="V318" s="658">
        <f t="shared" ref="V318:V334" si="169">S318-T318-U318</f>
        <v>67574</v>
      </c>
      <c r="W318" s="597">
        <v>0.95399999999999996</v>
      </c>
      <c r="X318" s="607">
        <f t="shared" si="150"/>
        <v>0.35653903888498689</v>
      </c>
      <c r="Y318" s="608">
        <f t="shared" ref="Y318:Y328" si="170">S318*12</f>
        <v>8919732</v>
      </c>
      <c r="AA318" s="609"/>
      <c r="AB318" s="609"/>
      <c r="AC318" s="609"/>
      <c r="AD318" s="609"/>
      <c r="AE318" s="609"/>
      <c r="AF318" s="609"/>
      <c r="AG318" s="609"/>
      <c r="AH318" s="609"/>
      <c r="AI318" s="609"/>
      <c r="AJ318" s="609"/>
      <c r="AK318" s="609"/>
      <c r="AL318" s="609"/>
      <c r="AM318" s="609"/>
      <c r="AN318" s="609"/>
      <c r="AO318" s="609"/>
      <c r="AP318" s="609"/>
      <c r="AQ318" s="609"/>
      <c r="AR318" s="609"/>
      <c r="AS318" s="609"/>
      <c r="AT318" s="609"/>
      <c r="AU318" s="609"/>
      <c r="AV318" s="609"/>
      <c r="AW318" s="610"/>
      <c r="AX318" s="611"/>
      <c r="AY318" s="806"/>
      <c r="AZ318" s="612"/>
      <c r="BA318" s="613"/>
    </row>
    <row r="319" spans="1:53" ht="24.75" customHeight="1">
      <c r="A319" s="599"/>
      <c r="B319" s="445">
        <v>1</v>
      </c>
      <c r="C319" s="445" t="s">
        <v>573</v>
      </c>
      <c r="D319" s="600">
        <v>13</v>
      </c>
      <c r="E319" s="561">
        <v>13</v>
      </c>
      <c r="F319" s="561">
        <v>1</v>
      </c>
      <c r="G319" s="602">
        <v>1</v>
      </c>
      <c r="H319" s="561"/>
      <c r="I319" s="561"/>
      <c r="J319" s="658">
        <v>99155</v>
      </c>
      <c r="K319" s="658">
        <v>99155</v>
      </c>
      <c r="L319" s="658">
        <v>99155</v>
      </c>
      <c r="M319" s="595">
        <f t="shared" si="164"/>
        <v>14873.25</v>
      </c>
      <c r="N319" s="658">
        <f t="shared" si="165"/>
        <v>84281.75</v>
      </c>
      <c r="O319" s="658">
        <f t="shared" si="166"/>
        <v>80404.789499999999</v>
      </c>
      <c r="P319" s="658">
        <f t="shared" si="167"/>
        <v>24673.189499999993</v>
      </c>
      <c r="Q319" s="658">
        <f t="shared" si="168"/>
        <v>3876.960500000001</v>
      </c>
      <c r="R319" s="658"/>
      <c r="S319" s="707">
        <v>67857</v>
      </c>
      <c r="T319" s="621">
        <f>S319*0.2</f>
        <v>13571.400000000001</v>
      </c>
      <c r="U319" s="665">
        <f>278658/5-T319</f>
        <v>42160.2</v>
      </c>
      <c r="V319" s="658">
        <f t="shared" si="169"/>
        <v>12125.400000000001</v>
      </c>
      <c r="W319" s="658"/>
      <c r="X319" s="607">
        <f t="shared" si="150"/>
        <v>0.59094112228491025</v>
      </c>
      <c r="Y319" s="608">
        <f t="shared" si="170"/>
        <v>814284</v>
      </c>
      <c r="AA319" s="609">
        <f>D319*'Don gia XCSDL DC'!$K$8</f>
        <v>5996.3809719789997</v>
      </c>
      <c r="AB319" s="609">
        <f>D319*'Don gia XCSDL DC'!$K$9</f>
        <v>5721.2785469790006</v>
      </c>
      <c r="AC319" s="609" t="e">
        <f>D319*'Don gia XCSDL DC'!#REF!</f>
        <v>#REF!</v>
      </c>
      <c r="AD319" s="609">
        <f>D319*'Don gia XCSDL DC'!$K$10</f>
        <v>23038.024799870902</v>
      </c>
      <c r="AE319" s="609">
        <f>J319*'Don gia XCSDL DC'!$K$11</f>
        <v>0</v>
      </c>
      <c r="AF319" s="609" t="e">
        <f>S319*'Don gia XCSDL DC'!#REF!</f>
        <v>#REF!</v>
      </c>
      <c r="AG319" s="609" t="e">
        <f>D319*'Don gia XCSDL DC'!#REF!</f>
        <v>#REF!</v>
      </c>
      <c r="AH319" s="609" t="e">
        <f>J319*'Don gia XCSDL DC'!#REF!</f>
        <v>#REF!</v>
      </c>
      <c r="AI319" s="609" t="e">
        <f>D319*'Don gia XCSDL DC'!#REF!</f>
        <v>#REF!</v>
      </c>
      <c r="AJ319" s="609">
        <f>S319*2*'Don gia XCSDL DC'!$K$24</f>
        <v>1160434491.1962111</v>
      </c>
      <c r="AK319" s="609" t="e">
        <f>S319*3*'Don gia XCSDL DC'!#REF!</f>
        <v>#REF!</v>
      </c>
      <c r="AL319" s="609" t="e">
        <f>(S319*2+S319*3)*('Don gia XCSDL DC'!#REF!+'Don gia XCSDL DC'!#REF!+'Don gia XCSDL DC'!#REF!)</f>
        <v>#REF!</v>
      </c>
      <c r="AM319" s="609" t="e">
        <f>O319*'Don gia XCSDL DC'!#REF!*50%</f>
        <v>#REF!</v>
      </c>
      <c r="AN319" s="609" t="e">
        <f>T319*'Don gia XCSDL DC'!#REF!*$AN$8</f>
        <v>#REF!</v>
      </c>
      <c r="AO319" s="609" t="e">
        <f>U319*'Don gia XCSDL DC'!#REF!*1</f>
        <v>#REF!</v>
      </c>
      <c r="AP319" s="609" t="e">
        <f>P319*X319*'Don gia XCSDL DC'!#REF!</f>
        <v>#REF!</v>
      </c>
      <c r="AQ319" s="609" t="e">
        <f>Q319*$AQ$8*'Don gia XCSDL DC'!#REF!</f>
        <v>#REF!</v>
      </c>
      <c r="AR319" s="609" t="e">
        <f>M319*$AR$8*'Don gia XCSDL DC'!#REF!</f>
        <v>#REF!</v>
      </c>
      <c r="AS319" s="609" t="e">
        <f>J319*'Don gia XCSDL DC'!#REF!</f>
        <v>#REF!</v>
      </c>
      <c r="AT319" s="609">
        <f>D319*'Don gia XCSDL DC'!$K$26</f>
        <v>0</v>
      </c>
      <c r="AU319" s="609">
        <f>J319*'Don gia XCSDL DC'!$K$34</f>
        <v>0</v>
      </c>
      <c r="AV319" s="609">
        <f>O319*'Don gia XCSDL DC'!$K$37</f>
        <v>0</v>
      </c>
      <c r="AW319" s="610" t="e">
        <f t="shared" si="155"/>
        <v>#REF!</v>
      </c>
      <c r="AX319" s="611" t="e">
        <f t="shared" si="156"/>
        <v>#REF!</v>
      </c>
      <c r="AY319" s="806" t="e">
        <f t="shared" si="152"/>
        <v>#REF!</v>
      </c>
      <c r="AZ319" s="612" t="e">
        <f>D319*'Don gia XCSDL DC'!#REF!</f>
        <v>#REF!</v>
      </c>
      <c r="BA319" s="613" t="e">
        <f>(Q319+M319)*'Don gia XCSDL DC'!#REF!</f>
        <v>#REF!</v>
      </c>
    </row>
    <row r="320" spans="1:53" ht="24.75" customHeight="1">
      <c r="A320" s="599"/>
      <c r="B320" s="445">
        <v>2</v>
      </c>
      <c r="C320" s="445" t="s">
        <v>574</v>
      </c>
      <c r="D320" s="600">
        <v>14</v>
      </c>
      <c r="E320" s="561">
        <v>14</v>
      </c>
      <c r="F320" s="561">
        <v>1</v>
      </c>
      <c r="G320" s="602">
        <v>1</v>
      </c>
      <c r="H320" s="561"/>
      <c r="I320" s="561"/>
      <c r="J320" s="658">
        <v>95673</v>
      </c>
      <c r="K320" s="658">
        <v>95673</v>
      </c>
      <c r="L320" s="658">
        <v>95673</v>
      </c>
      <c r="M320" s="595">
        <f t="shared" si="164"/>
        <v>14350.949999999999</v>
      </c>
      <c r="N320" s="658">
        <f t="shared" si="165"/>
        <v>81322.05</v>
      </c>
      <c r="O320" s="658">
        <f t="shared" si="166"/>
        <v>77581.235700000005</v>
      </c>
      <c r="P320" s="658">
        <f t="shared" si="167"/>
        <v>46944.235700000012</v>
      </c>
      <c r="Q320" s="658">
        <f t="shared" si="168"/>
        <v>3740.8142999999982</v>
      </c>
      <c r="R320" s="658"/>
      <c r="S320" s="707">
        <v>41744</v>
      </c>
      <c r="T320" s="621">
        <f>S320*0.1</f>
        <v>4174.4000000000005</v>
      </c>
      <c r="U320" s="665">
        <f>153185/5-T320</f>
        <v>26462.6</v>
      </c>
      <c r="V320" s="658">
        <f t="shared" si="169"/>
        <v>11107</v>
      </c>
      <c r="W320" s="658"/>
      <c r="X320" s="607">
        <f t="shared" si="150"/>
        <v>0.38596076390565515</v>
      </c>
      <c r="Y320" s="608">
        <f t="shared" si="170"/>
        <v>500928</v>
      </c>
      <c r="AA320" s="609">
        <f>D320*'Don gia XCSDL DC'!$K$8</f>
        <v>6457.6410467466158</v>
      </c>
      <c r="AB320" s="609">
        <f>D320*'Don gia XCSDL DC'!$K$9</f>
        <v>6161.3768967466167</v>
      </c>
      <c r="AC320" s="609" t="e">
        <f>D320*'Don gia XCSDL DC'!#REF!</f>
        <v>#REF!</v>
      </c>
      <c r="AD320" s="609">
        <f>D320*'Don gia XCSDL DC'!$K$10</f>
        <v>24810.180553707127</v>
      </c>
      <c r="AE320" s="609">
        <f>J320*'Don gia XCSDL DC'!$K$11</f>
        <v>0</v>
      </c>
      <c r="AF320" s="609" t="e">
        <f>S320*'Don gia XCSDL DC'!#REF!</f>
        <v>#REF!</v>
      </c>
      <c r="AG320" s="609" t="e">
        <f>D320*'Don gia XCSDL DC'!#REF!</f>
        <v>#REF!</v>
      </c>
      <c r="AH320" s="609" t="e">
        <f>J320*'Don gia XCSDL DC'!#REF!</f>
        <v>#REF!</v>
      </c>
      <c r="AI320" s="609" t="e">
        <f>D320*'Don gia XCSDL DC'!#REF!</f>
        <v>#REF!</v>
      </c>
      <c r="AJ320" s="609">
        <f>S320*2*'Don gia XCSDL DC'!$K$24</f>
        <v>713871485.63146973</v>
      </c>
      <c r="AK320" s="609" t="e">
        <f>S320*3*'Don gia XCSDL DC'!#REF!</f>
        <v>#REF!</v>
      </c>
      <c r="AL320" s="609" t="e">
        <f>(S320*2+S320*3)*('Don gia XCSDL DC'!#REF!+'Don gia XCSDL DC'!#REF!+'Don gia XCSDL DC'!#REF!)</f>
        <v>#REF!</v>
      </c>
      <c r="AM320" s="609" t="e">
        <f>O320*'Don gia XCSDL DC'!#REF!*50%</f>
        <v>#REF!</v>
      </c>
      <c r="AN320" s="609" t="e">
        <f>T320*'Don gia XCSDL DC'!#REF!*$AN$8</f>
        <v>#REF!</v>
      </c>
      <c r="AO320" s="609" t="e">
        <f>U320*'Don gia XCSDL DC'!#REF!*1</f>
        <v>#REF!</v>
      </c>
      <c r="AP320" s="609" t="e">
        <f>P320*X320*'Don gia XCSDL DC'!#REF!</f>
        <v>#REF!</v>
      </c>
      <c r="AQ320" s="609" t="e">
        <f>Q320*$AQ$8*'Don gia XCSDL DC'!#REF!</f>
        <v>#REF!</v>
      </c>
      <c r="AR320" s="609" t="e">
        <f>M320*$AR$8*'Don gia XCSDL DC'!#REF!</f>
        <v>#REF!</v>
      </c>
      <c r="AS320" s="609" t="e">
        <f>J320*'Don gia XCSDL DC'!#REF!</f>
        <v>#REF!</v>
      </c>
      <c r="AT320" s="609">
        <f>D320*'Don gia XCSDL DC'!$K$26</f>
        <v>0</v>
      </c>
      <c r="AU320" s="609">
        <f>J320*'Don gia XCSDL DC'!$K$34</f>
        <v>0</v>
      </c>
      <c r="AV320" s="609">
        <f>O320*'Don gia XCSDL DC'!$K$37</f>
        <v>0</v>
      </c>
      <c r="AW320" s="610" t="e">
        <f t="shared" si="155"/>
        <v>#REF!</v>
      </c>
      <c r="AX320" s="611" t="e">
        <f t="shared" si="156"/>
        <v>#REF!</v>
      </c>
      <c r="AY320" s="806" t="e">
        <f t="shared" si="152"/>
        <v>#REF!</v>
      </c>
      <c r="AZ320" s="612" t="e">
        <f>D320*'Don gia XCSDL DC'!#REF!</f>
        <v>#REF!</v>
      </c>
      <c r="BA320" s="613" t="e">
        <f>(Q320+M320)*'Don gia XCSDL DC'!#REF!</f>
        <v>#REF!</v>
      </c>
    </row>
    <row r="321" spans="1:53" ht="24.75" customHeight="1">
      <c r="A321" s="599"/>
      <c r="B321" s="445">
        <v>3</v>
      </c>
      <c r="C321" s="445" t="s">
        <v>575</v>
      </c>
      <c r="D321" s="600">
        <v>18</v>
      </c>
      <c r="E321" s="561">
        <v>18</v>
      </c>
      <c r="F321" s="561">
        <v>1</v>
      </c>
      <c r="G321" s="602">
        <v>1</v>
      </c>
      <c r="H321" s="561"/>
      <c r="I321" s="561"/>
      <c r="J321" s="658">
        <v>132274</v>
      </c>
      <c r="K321" s="658">
        <v>132274</v>
      </c>
      <c r="L321" s="658">
        <v>132274</v>
      </c>
      <c r="M321" s="595">
        <f t="shared" si="164"/>
        <v>19841.099999999999</v>
      </c>
      <c r="N321" s="658">
        <f t="shared" si="165"/>
        <v>112432.9</v>
      </c>
      <c r="O321" s="658">
        <f t="shared" si="166"/>
        <v>107260.98659999999</v>
      </c>
      <c r="P321" s="658">
        <f t="shared" si="167"/>
        <v>50493.486599999989</v>
      </c>
      <c r="Q321" s="658">
        <f t="shared" si="168"/>
        <v>5171.9134000000049</v>
      </c>
      <c r="R321" s="658"/>
      <c r="S321" s="707">
        <v>74372</v>
      </c>
      <c r="T321" s="621">
        <f t="shared" ref="T321:T328" si="171">S321*0.02</f>
        <v>1487.44</v>
      </c>
      <c r="U321" s="665">
        <f>227070/4-T321</f>
        <v>55280.06</v>
      </c>
      <c r="V321" s="658">
        <f t="shared" si="169"/>
        <v>17604.5</v>
      </c>
      <c r="W321" s="658"/>
      <c r="X321" s="607">
        <f t="shared" si="150"/>
        <v>0.47608718163041175</v>
      </c>
      <c r="Y321" s="608">
        <f t="shared" si="170"/>
        <v>892464</v>
      </c>
      <c r="AA321" s="609">
        <f>D321*'Don gia XCSDL DC'!$K$8</f>
        <v>8302.6813458170764</v>
      </c>
      <c r="AB321" s="609">
        <f>D321*'Don gia XCSDL DC'!$K$9</f>
        <v>7921.7702958170776</v>
      </c>
      <c r="AC321" s="609" t="e">
        <f>D321*'Don gia XCSDL DC'!#REF!</f>
        <v>#REF!</v>
      </c>
      <c r="AD321" s="609">
        <f>D321*'Don gia XCSDL DC'!$K$10</f>
        <v>31898.803569052019</v>
      </c>
      <c r="AE321" s="609">
        <f>J321*'Don gia XCSDL DC'!$K$11</f>
        <v>0</v>
      </c>
      <c r="AF321" s="609" t="e">
        <f>S321*'Don gia XCSDL DC'!#REF!</f>
        <v>#REF!</v>
      </c>
      <c r="AG321" s="609" t="e">
        <f>D321*'Don gia XCSDL DC'!#REF!</f>
        <v>#REF!</v>
      </c>
      <c r="AH321" s="609" t="e">
        <f>J321*'Don gia XCSDL DC'!#REF!</f>
        <v>#REF!</v>
      </c>
      <c r="AI321" s="609" t="e">
        <f>D321*'Don gia XCSDL DC'!#REF!</f>
        <v>#REF!</v>
      </c>
      <c r="AJ321" s="609">
        <f>S321*2*'Don gia XCSDL DC'!$K$24</f>
        <v>1271848652.0070827</v>
      </c>
      <c r="AK321" s="609" t="e">
        <f>S321*3*'Don gia XCSDL DC'!#REF!</f>
        <v>#REF!</v>
      </c>
      <c r="AL321" s="609" t="e">
        <f>(S321*2+S321*3)*('Don gia XCSDL DC'!#REF!+'Don gia XCSDL DC'!#REF!+'Don gia XCSDL DC'!#REF!)</f>
        <v>#REF!</v>
      </c>
      <c r="AM321" s="609" t="e">
        <f>O321*'Don gia XCSDL DC'!#REF!*50%</f>
        <v>#REF!</v>
      </c>
      <c r="AN321" s="609" t="e">
        <f>T321*'Don gia XCSDL DC'!#REF!*$AN$8</f>
        <v>#REF!</v>
      </c>
      <c r="AO321" s="609" t="e">
        <f>U321*'Don gia XCSDL DC'!#REF!*1</f>
        <v>#REF!</v>
      </c>
      <c r="AP321" s="609" t="e">
        <f>P321*X321*'Don gia XCSDL DC'!#REF!</f>
        <v>#REF!</v>
      </c>
      <c r="AQ321" s="609" t="e">
        <f>Q321*$AQ$8*'Don gia XCSDL DC'!#REF!</f>
        <v>#REF!</v>
      </c>
      <c r="AR321" s="609" t="e">
        <f>M321*$AR$8*'Don gia XCSDL DC'!#REF!</f>
        <v>#REF!</v>
      </c>
      <c r="AS321" s="609" t="e">
        <f>J321*'Don gia XCSDL DC'!#REF!</f>
        <v>#REF!</v>
      </c>
      <c r="AT321" s="609">
        <f>D321*'Don gia XCSDL DC'!$K$26</f>
        <v>0</v>
      </c>
      <c r="AU321" s="609">
        <f>J321*'Don gia XCSDL DC'!$K$34</f>
        <v>0</v>
      </c>
      <c r="AV321" s="609">
        <f>O321*'Don gia XCSDL DC'!$K$37</f>
        <v>0</v>
      </c>
      <c r="AW321" s="610" t="e">
        <f t="shared" si="155"/>
        <v>#REF!</v>
      </c>
      <c r="AX321" s="611" t="e">
        <f t="shared" si="156"/>
        <v>#REF!</v>
      </c>
      <c r="AY321" s="806" t="e">
        <f t="shared" si="152"/>
        <v>#REF!</v>
      </c>
      <c r="AZ321" s="612" t="e">
        <f>D321*'Don gia XCSDL DC'!#REF!</f>
        <v>#REF!</v>
      </c>
      <c r="BA321" s="613" t="e">
        <f>(Q321+M321)*'Don gia XCSDL DC'!#REF!</f>
        <v>#REF!</v>
      </c>
    </row>
    <row r="322" spans="1:53" ht="24.75" customHeight="1">
      <c r="A322" s="599"/>
      <c r="B322" s="445">
        <v>4</v>
      </c>
      <c r="C322" s="445" t="s">
        <v>576</v>
      </c>
      <c r="D322" s="600">
        <v>14</v>
      </c>
      <c r="E322" s="561">
        <v>14</v>
      </c>
      <c r="F322" s="561">
        <v>1</v>
      </c>
      <c r="G322" s="602">
        <v>1</v>
      </c>
      <c r="H322" s="561"/>
      <c r="I322" s="561"/>
      <c r="J322" s="658">
        <v>109684</v>
      </c>
      <c r="K322" s="658">
        <v>109684</v>
      </c>
      <c r="L322" s="658">
        <v>109684</v>
      </c>
      <c r="M322" s="595">
        <f t="shared" si="164"/>
        <v>16452.599999999999</v>
      </c>
      <c r="N322" s="658">
        <f t="shared" si="165"/>
        <v>93231.4</v>
      </c>
      <c r="O322" s="658">
        <f t="shared" si="166"/>
        <v>88942.755599999989</v>
      </c>
      <c r="P322" s="658">
        <f t="shared" si="167"/>
        <v>44515.255599999982</v>
      </c>
      <c r="Q322" s="658">
        <f t="shared" si="168"/>
        <v>4288.6444000000047</v>
      </c>
      <c r="R322" s="658"/>
      <c r="S322" s="707">
        <v>65255</v>
      </c>
      <c r="T322" s="621">
        <f t="shared" si="171"/>
        <v>1305.1000000000001</v>
      </c>
      <c r="U322" s="665">
        <f>177710/4-T322</f>
        <v>43122.400000000001</v>
      </c>
      <c r="V322" s="658">
        <f t="shared" si="169"/>
        <v>20827.5</v>
      </c>
      <c r="W322" s="658"/>
      <c r="X322" s="607">
        <f t="shared" si="150"/>
        <v>0.5719850540015966</v>
      </c>
      <c r="Y322" s="608">
        <f t="shared" si="170"/>
        <v>783060</v>
      </c>
      <c r="AA322" s="609">
        <f>D322*'Don gia XCSDL DC'!$K$8</f>
        <v>6457.6410467466158</v>
      </c>
      <c r="AB322" s="609">
        <f>D322*'Don gia XCSDL DC'!$K$9</f>
        <v>6161.3768967466167</v>
      </c>
      <c r="AC322" s="609" t="e">
        <f>D322*'Don gia XCSDL DC'!#REF!</f>
        <v>#REF!</v>
      </c>
      <c r="AD322" s="609">
        <f>D322*'Don gia XCSDL DC'!$K$10</f>
        <v>24810.180553707127</v>
      </c>
      <c r="AE322" s="609">
        <f>J322*'Don gia XCSDL DC'!$K$11</f>
        <v>0</v>
      </c>
      <c r="AF322" s="609" t="e">
        <f>S322*'Don gia XCSDL DC'!#REF!</f>
        <v>#REF!</v>
      </c>
      <c r="AG322" s="609" t="e">
        <f>D322*'Don gia XCSDL DC'!#REF!</f>
        <v>#REF!</v>
      </c>
      <c r="AH322" s="609" t="e">
        <f>J322*'Don gia XCSDL DC'!#REF!</f>
        <v>#REF!</v>
      </c>
      <c r="AI322" s="609" t="e">
        <f>D322*'Don gia XCSDL DC'!#REF!</f>
        <v>#REF!</v>
      </c>
      <c r="AJ322" s="609">
        <f>S322*2*'Don gia XCSDL DC'!$K$24</f>
        <v>1115937231.5753534</v>
      </c>
      <c r="AK322" s="609" t="e">
        <f>S322*3*'Don gia XCSDL DC'!#REF!</f>
        <v>#REF!</v>
      </c>
      <c r="AL322" s="609" t="e">
        <f>(S322*2+S322*3)*('Don gia XCSDL DC'!#REF!+'Don gia XCSDL DC'!#REF!+'Don gia XCSDL DC'!#REF!)</f>
        <v>#REF!</v>
      </c>
      <c r="AM322" s="609" t="e">
        <f>O322*'Don gia XCSDL DC'!#REF!*50%</f>
        <v>#REF!</v>
      </c>
      <c r="AN322" s="609" t="e">
        <f>T322*'Don gia XCSDL DC'!#REF!*$AN$8</f>
        <v>#REF!</v>
      </c>
      <c r="AO322" s="609" t="e">
        <f>U322*'Don gia XCSDL DC'!#REF!*1</f>
        <v>#REF!</v>
      </c>
      <c r="AP322" s="609" t="e">
        <f>P322*X322*'Don gia XCSDL DC'!#REF!</f>
        <v>#REF!</v>
      </c>
      <c r="AQ322" s="609" t="e">
        <f>Q322*$AQ$8*'Don gia XCSDL DC'!#REF!</f>
        <v>#REF!</v>
      </c>
      <c r="AR322" s="609" t="e">
        <f>M322*$AR$8*'Don gia XCSDL DC'!#REF!</f>
        <v>#REF!</v>
      </c>
      <c r="AS322" s="609" t="e">
        <f>J322*'Don gia XCSDL DC'!#REF!</f>
        <v>#REF!</v>
      </c>
      <c r="AT322" s="609">
        <f>D322*'Don gia XCSDL DC'!$K$26</f>
        <v>0</v>
      </c>
      <c r="AU322" s="609">
        <f>J322*'Don gia XCSDL DC'!$K$34</f>
        <v>0</v>
      </c>
      <c r="AV322" s="609">
        <f>O322*'Don gia XCSDL DC'!$K$37</f>
        <v>0</v>
      </c>
      <c r="AW322" s="610" t="e">
        <f t="shared" si="155"/>
        <v>#REF!</v>
      </c>
      <c r="AX322" s="611" t="e">
        <f t="shared" si="156"/>
        <v>#REF!</v>
      </c>
      <c r="AY322" s="806" t="e">
        <f t="shared" si="152"/>
        <v>#REF!</v>
      </c>
      <c r="AZ322" s="612" t="e">
        <f>D322*'Don gia XCSDL DC'!#REF!</f>
        <v>#REF!</v>
      </c>
      <c r="BA322" s="613" t="e">
        <f>(Q322+M322)*'Don gia XCSDL DC'!#REF!</f>
        <v>#REF!</v>
      </c>
    </row>
    <row r="323" spans="1:53" ht="24.75" customHeight="1">
      <c r="A323" s="599"/>
      <c r="B323" s="445">
        <v>5</v>
      </c>
      <c r="C323" s="445" t="s">
        <v>577</v>
      </c>
      <c r="D323" s="600">
        <v>17</v>
      </c>
      <c r="E323" s="561">
        <v>17</v>
      </c>
      <c r="F323" s="561">
        <v>1</v>
      </c>
      <c r="G323" s="602">
        <v>1</v>
      </c>
      <c r="H323" s="561"/>
      <c r="I323" s="561"/>
      <c r="J323" s="658">
        <v>114042</v>
      </c>
      <c r="K323" s="658">
        <v>114042</v>
      </c>
      <c r="L323" s="658">
        <v>114042</v>
      </c>
      <c r="M323" s="595">
        <f t="shared" si="164"/>
        <v>17106.3</v>
      </c>
      <c r="N323" s="658">
        <f t="shared" si="165"/>
        <v>96935.7</v>
      </c>
      <c r="O323" s="658">
        <f t="shared" si="166"/>
        <v>92476.657799999986</v>
      </c>
      <c r="P323" s="658">
        <f t="shared" si="167"/>
        <v>10408.021436363633</v>
      </c>
      <c r="Q323" s="658">
        <f t="shared" si="168"/>
        <v>4459.0422000000108</v>
      </c>
      <c r="R323" s="658"/>
      <c r="S323" s="707">
        <v>85756</v>
      </c>
      <c r="T323" s="621">
        <f t="shared" si="171"/>
        <v>1715.1200000000001</v>
      </c>
      <c r="U323" s="665">
        <f>180551/2.2-T323</f>
        <v>80353.516363636358</v>
      </c>
      <c r="V323" s="658">
        <f t="shared" si="169"/>
        <v>3687.3636363636469</v>
      </c>
      <c r="W323" s="658"/>
      <c r="X323" s="607">
        <f t="shared" si="150"/>
        <v>0.48061727924409398</v>
      </c>
      <c r="Y323" s="608">
        <f t="shared" si="170"/>
        <v>1029072</v>
      </c>
      <c r="AA323" s="609">
        <f>D323*'Don gia XCSDL DC'!$K$8</f>
        <v>7841.4212710494612</v>
      </c>
      <c r="AB323" s="609">
        <f>D323*'Don gia XCSDL DC'!$K$9</f>
        <v>7481.6719460494623</v>
      </c>
      <c r="AC323" s="609" t="e">
        <f>D323*'Don gia XCSDL DC'!#REF!</f>
        <v>#REF!</v>
      </c>
      <c r="AD323" s="609">
        <f>D323*'Don gia XCSDL DC'!$K$10</f>
        <v>30126.647815215798</v>
      </c>
      <c r="AE323" s="609">
        <f>J323*'Don gia XCSDL DC'!$K$11</f>
        <v>0</v>
      </c>
      <c r="AF323" s="609" t="e">
        <f>S323*'Don gia XCSDL DC'!#REF!</f>
        <v>#REF!</v>
      </c>
      <c r="AG323" s="609" t="e">
        <f>D323*'Don gia XCSDL DC'!#REF!</f>
        <v>#REF!</v>
      </c>
      <c r="AH323" s="609" t="e">
        <f>J323*'Don gia XCSDL DC'!#REF!</f>
        <v>#REF!</v>
      </c>
      <c r="AI323" s="609" t="e">
        <f>D323*'Don gia XCSDL DC'!#REF!</f>
        <v>#REF!</v>
      </c>
      <c r="AJ323" s="609">
        <f>S323*2*'Don gia XCSDL DC'!$K$24</f>
        <v>1466528438.1423035</v>
      </c>
      <c r="AK323" s="609" t="e">
        <f>S323*3*'Don gia XCSDL DC'!#REF!</f>
        <v>#REF!</v>
      </c>
      <c r="AL323" s="609" t="e">
        <f>(S323*2+S323*3)*('Don gia XCSDL DC'!#REF!+'Don gia XCSDL DC'!#REF!+'Don gia XCSDL DC'!#REF!)</f>
        <v>#REF!</v>
      </c>
      <c r="AM323" s="609" t="e">
        <f>O323*'Don gia XCSDL DC'!#REF!*50%</f>
        <v>#REF!</v>
      </c>
      <c r="AN323" s="609" t="e">
        <f>T323*'Don gia XCSDL DC'!#REF!*$AN$8</f>
        <v>#REF!</v>
      </c>
      <c r="AO323" s="609" t="e">
        <f>U323*'Don gia XCSDL DC'!#REF!*1</f>
        <v>#REF!</v>
      </c>
      <c r="AP323" s="609" t="e">
        <f>P323*X323*'Don gia XCSDL DC'!#REF!</f>
        <v>#REF!</v>
      </c>
      <c r="AQ323" s="609" t="e">
        <f>Q323*$AQ$8*'Don gia XCSDL DC'!#REF!</f>
        <v>#REF!</v>
      </c>
      <c r="AR323" s="609" t="e">
        <f>M323*$AR$8*'Don gia XCSDL DC'!#REF!</f>
        <v>#REF!</v>
      </c>
      <c r="AS323" s="609" t="e">
        <f>J323*'Don gia XCSDL DC'!#REF!</f>
        <v>#REF!</v>
      </c>
      <c r="AT323" s="609">
        <f>D323*'Don gia XCSDL DC'!$K$26</f>
        <v>0</v>
      </c>
      <c r="AU323" s="609">
        <f>J323*'Don gia XCSDL DC'!$K$34</f>
        <v>0</v>
      </c>
      <c r="AV323" s="609">
        <f>O323*'Don gia XCSDL DC'!$K$37</f>
        <v>0</v>
      </c>
      <c r="AW323" s="610" t="e">
        <f t="shared" si="155"/>
        <v>#REF!</v>
      </c>
      <c r="AX323" s="611" t="e">
        <f t="shared" si="156"/>
        <v>#REF!</v>
      </c>
      <c r="AY323" s="806" t="e">
        <f t="shared" si="152"/>
        <v>#REF!</v>
      </c>
      <c r="AZ323" s="612" t="e">
        <f>D323*'Don gia XCSDL DC'!#REF!</f>
        <v>#REF!</v>
      </c>
      <c r="BA323" s="613" t="e">
        <f>(Q323+M323)*'Don gia XCSDL DC'!#REF!</f>
        <v>#REF!</v>
      </c>
    </row>
    <row r="324" spans="1:53" ht="24.75" customHeight="1">
      <c r="A324" s="599"/>
      <c r="B324" s="445">
        <v>6</v>
      </c>
      <c r="C324" s="445" t="s">
        <v>578</v>
      </c>
      <c r="D324" s="600">
        <v>18</v>
      </c>
      <c r="E324" s="561">
        <v>18</v>
      </c>
      <c r="F324" s="561">
        <v>1</v>
      </c>
      <c r="G324" s="602">
        <v>1</v>
      </c>
      <c r="H324" s="561"/>
      <c r="I324" s="561"/>
      <c r="J324" s="658">
        <v>195652</v>
      </c>
      <c r="K324" s="658">
        <v>195652</v>
      </c>
      <c r="L324" s="658">
        <v>195652</v>
      </c>
      <c r="M324" s="595">
        <f t="shared" si="164"/>
        <v>29347.8</v>
      </c>
      <c r="N324" s="658">
        <f t="shared" si="165"/>
        <v>166304.20000000001</v>
      </c>
      <c r="O324" s="658">
        <f t="shared" si="166"/>
        <v>158654.20680000001</v>
      </c>
      <c r="P324" s="658">
        <f t="shared" si="167"/>
        <v>47299.368090322605</v>
      </c>
      <c r="Q324" s="658">
        <f t="shared" si="168"/>
        <v>7649.9931999999972</v>
      </c>
      <c r="R324" s="658"/>
      <c r="S324" s="707">
        <v>134889</v>
      </c>
      <c r="T324" s="621">
        <f t="shared" si="171"/>
        <v>2697.78</v>
      </c>
      <c r="U324" s="665">
        <f>345200/3.1-T324</f>
        <v>108657.05870967741</v>
      </c>
      <c r="V324" s="658">
        <f t="shared" si="169"/>
        <v>23534.161290322591</v>
      </c>
      <c r="W324" s="658"/>
      <c r="X324" s="607">
        <f t="shared" si="150"/>
        <v>0.59586156860311257</v>
      </c>
      <c r="Y324" s="608">
        <f t="shared" si="170"/>
        <v>1618668</v>
      </c>
      <c r="AA324" s="609">
        <f>D324*'Don gia XCSDL DC'!$K$8</f>
        <v>8302.6813458170764</v>
      </c>
      <c r="AB324" s="609">
        <f>D324*'Don gia XCSDL DC'!$K$9</f>
        <v>7921.7702958170776</v>
      </c>
      <c r="AC324" s="609" t="e">
        <f>D324*'Don gia XCSDL DC'!#REF!</f>
        <v>#REF!</v>
      </c>
      <c r="AD324" s="609">
        <f>D324*'Don gia XCSDL DC'!$K$10</f>
        <v>31898.803569052019</v>
      </c>
      <c r="AE324" s="609">
        <f>J324*'Don gia XCSDL DC'!$K$11</f>
        <v>0</v>
      </c>
      <c r="AF324" s="609" t="e">
        <f>S324*'Don gia XCSDL DC'!#REF!</f>
        <v>#REF!</v>
      </c>
      <c r="AG324" s="609" t="e">
        <f>D324*'Don gia XCSDL DC'!#REF!</f>
        <v>#REF!</v>
      </c>
      <c r="AH324" s="609" t="e">
        <f>J324*'Don gia XCSDL DC'!#REF!</f>
        <v>#REF!</v>
      </c>
      <c r="AI324" s="609" t="e">
        <f>D324*'Don gia XCSDL DC'!#REF!</f>
        <v>#REF!</v>
      </c>
      <c r="AJ324" s="609">
        <f>S324*2*'Don gia XCSDL DC'!$K$24</f>
        <v>2306760512.2974157</v>
      </c>
      <c r="AK324" s="609" t="e">
        <f>S324*3*'Don gia XCSDL DC'!#REF!</f>
        <v>#REF!</v>
      </c>
      <c r="AL324" s="609" t="e">
        <f>(S324*2+S324*3)*('Don gia XCSDL DC'!#REF!+'Don gia XCSDL DC'!#REF!+'Don gia XCSDL DC'!#REF!)</f>
        <v>#REF!</v>
      </c>
      <c r="AM324" s="609" t="e">
        <f>O324*'Don gia XCSDL DC'!#REF!*50%</f>
        <v>#REF!</v>
      </c>
      <c r="AN324" s="609" t="e">
        <f>T324*'Don gia XCSDL DC'!#REF!*$AN$8</f>
        <v>#REF!</v>
      </c>
      <c r="AO324" s="609" t="e">
        <f>U324*'Don gia XCSDL DC'!#REF!*1</f>
        <v>#REF!</v>
      </c>
      <c r="AP324" s="609" t="e">
        <f>P324*X324*'Don gia XCSDL DC'!#REF!</f>
        <v>#REF!</v>
      </c>
      <c r="AQ324" s="609" t="e">
        <f>Q324*$AQ$8*'Don gia XCSDL DC'!#REF!</f>
        <v>#REF!</v>
      </c>
      <c r="AR324" s="609" t="e">
        <f>M324*$AR$8*'Don gia XCSDL DC'!#REF!</f>
        <v>#REF!</v>
      </c>
      <c r="AS324" s="609" t="e">
        <f>J324*'Don gia XCSDL DC'!#REF!</f>
        <v>#REF!</v>
      </c>
      <c r="AT324" s="609">
        <f>D324*'Don gia XCSDL DC'!$K$26</f>
        <v>0</v>
      </c>
      <c r="AU324" s="609">
        <f>J324*'Don gia XCSDL DC'!$K$34</f>
        <v>0</v>
      </c>
      <c r="AV324" s="609">
        <f>O324*'Don gia XCSDL DC'!$K$37</f>
        <v>0</v>
      </c>
      <c r="AW324" s="610" t="e">
        <f t="shared" si="155"/>
        <v>#REF!</v>
      </c>
      <c r="AX324" s="611" t="e">
        <f t="shared" si="156"/>
        <v>#REF!</v>
      </c>
      <c r="AY324" s="806" t="e">
        <f t="shared" si="152"/>
        <v>#REF!</v>
      </c>
      <c r="AZ324" s="612" t="e">
        <f>D324*'Don gia XCSDL DC'!#REF!</f>
        <v>#REF!</v>
      </c>
      <c r="BA324" s="613" t="e">
        <f>(Q324+M324)*'Don gia XCSDL DC'!#REF!</f>
        <v>#REF!</v>
      </c>
    </row>
    <row r="325" spans="1:53" ht="24.75" customHeight="1">
      <c r="A325" s="599"/>
      <c r="B325" s="445">
        <v>7</v>
      </c>
      <c r="C325" s="445" t="s">
        <v>579</v>
      </c>
      <c r="D325" s="600">
        <v>14</v>
      </c>
      <c r="E325" s="561">
        <v>14</v>
      </c>
      <c r="F325" s="561">
        <v>1</v>
      </c>
      <c r="G325" s="602">
        <v>1</v>
      </c>
      <c r="H325" s="561"/>
      <c r="I325" s="561"/>
      <c r="J325" s="658">
        <v>121483</v>
      </c>
      <c r="K325" s="658">
        <v>121483</v>
      </c>
      <c r="L325" s="658">
        <v>121483</v>
      </c>
      <c r="M325" s="595">
        <f t="shared" si="164"/>
        <v>18222.45</v>
      </c>
      <c r="N325" s="658">
        <f t="shared" si="165"/>
        <v>103260.55</v>
      </c>
      <c r="O325" s="658">
        <f t="shared" si="166"/>
        <v>98510.564700000003</v>
      </c>
      <c r="P325" s="658">
        <f t="shared" si="167"/>
        <v>58250.231366666667</v>
      </c>
      <c r="Q325" s="658">
        <f t="shared" si="168"/>
        <v>4749.9853000000003</v>
      </c>
      <c r="R325" s="658"/>
      <c r="S325" s="707">
        <v>67875</v>
      </c>
      <c r="T325" s="621">
        <f t="shared" si="171"/>
        <v>1357.5</v>
      </c>
      <c r="U325" s="665">
        <f>120781/3-T325</f>
        <v>38902.833333333336</v>
      </c>
      <c r="V325" s="658">
        <f t="shared" si="169"/>
        <v>27614.666666666664</v>
      </c>
      <c r="W325" s="658"/>
      <c r="X325" s="607">
        <f t="shared" si="150"/>
        <v>0.57696906451272334</v>
      </c>
      <c r="Y325" s="608">
        <f t="shared" si="170"/>
        <v>814500</v>
      </c>
      <c r="AA325" s="609">
        <f>D325*'Don gia XCSDL DC'!$K$8</f>
        <v>6457.6410467466158</v>
      </c>
      <c r="AB325" s="609">
        <f>D325*'Don gia XCSDL DC'!$K$9</f>
        <v>6161.3768967466167</v>
      </c>
      <c r="AC325" s="609" t="e">
        <f>D325*'Don gia XCSDL DC'!#REF!</f>
        <v>#REF!</v>
      </c>
      <c r="AD325" s="609">
        <f>D325*'Don gia XCSDL DC'!$K$10</f>
        <v>24810.180553707127</v>
      </c>
      <c r="AE325" s="609">
        <f>J325*'Don gia XCSDL DC'!$K$11</f>
        <v>0</v>
      </c>
      <c r="AF325" s="609" t="e">
        <f>S325*'Don gia XCSDL DC'!#REF!</f>
        <v>#REF!</v>
      </c>
      <c r="AG325" s="609" t="e">
        <f>D325*'Don gia XCSDL DC'!#REF!</f>
        <v>#REF!</v>
      </c>
      <c r="AH325" s="609" t="e">
        <f>J325*'Don gia XCSDL DC'!#REF!</f>
        <v>#REF!</v>
      </c>
      <c r="AI325" s="609" t="e">
        <f>D325*'Don gia XCSDL DC'!#REF!</f>
        <v>#REF!</v>
      </c>
      <c r="AJ325" s="609">
        <f>S325*2*'Don gia XCSDL DC'!$K$24</f>
        <v>1160742312.3619204</v>
      </c>
      <c r="AK325" s="609" t="e">
        <f>S325*3*'Don gia XCSDL DC'!#REF!</f>
        <v>#REF!</v>
      </c>
      <c r="AL325" s="609" t="e">
        <f>(S325*2+S325*3)*('Don gia XCSDL DC'!#REF!+'Don gia XCSDL DC'!#REF!+'Don gia XCSDL DC'!#REF!)</f>
        <v>#REF!</v>
      </c>
      <c r="AM325" s="609" t="e">
        <f>O325*'Don gia XCSDL DC'!#REF!*50%</f>
        <v>#REF!</v>
      </c>
      <c r="AN325" s="609" t="e">
        <f>T325*'Don gia XCSDL DC'!#REF!*$AN$8</f>
        <v>#REF!</v>
      </c>
      <c r="AO325" s="609" t="e">
        <f>U325*'Don gia XCSDL DC'!#REF!*1</f>
        <v>#REF!</v>
      </c>
      <c r="AP325" s="609" t="e">
        <f>P325*X325*'Don gia XCSDL DC'!#REF!</f>
        <v>#REF!</v>
      </c>
      <c r="AQ325" s="609" t="e">
        <f>Q325*$AQ$8*'Don gia XCSDL DC'!#REF!</f>
        <v>#REF!</v>
      </c>
      <c r="AR325" s="609" t="e">
        <f>M325*$AR$8*'Don gia XCSDL DC'!#REF!</f>
        <v>#REF!</v>
      </c>
      <c r="AS325" s="609" t="e">
        <f>J325*'Don gia XCSDL DC'!#REF!</f>
        <v>#REF!</v>
      </c>
      <c r="AT325" s="609">
        <f>D325*'Don gia XCSDL DC'!$K$26</f>
        <v>0</v>
      </c>
      <c r="AU325" s="609">
        <f>J325*'Don gia XCSDL DC'!$K$34</f>
        <v>0</v>
      </c>
      <c r="AV325" s="609">
        <f>O325*'Don gia XCSDL DC'!$K$37</f>
        <v>0</v>
      </c>
      <c r="AW325" s="610" t="e">
        <f t="shared" si="155"/>
        <v>#REF!</v>
      </c>
      <c r="AX325" s="611" t="e">
        <f t="shared" si="156"/>
        <v>#REF!</v>
      </c>
      <c r="AY325" s="806" t="e">
        <f t="shared" si="152"/>
        <v>#REF!</v>
      </c>
      <c r="AZ325" s="612" t="e">
        <f>D325*'Don gia XCSDL DC'!#REF!</f>
        <v>#REF!</v>
      </c>
      <c r="BA325" s="613" t="e">
        <f>(Q325+M325)*'Don gia XCSDL DC'!#REF!</f>
        <v>#REF!</v>
      </c>
    </row>
    <row r="326" spans="1:53" ht="24.75" customHeight="1">
      <c r="A326" s="599"/>
      <c r="B326" s="445">
        <v>8</v>
      </c>
      <c r="C326" s="445" t="s">
        <v>580</v>
      </c>
      <c r="D326" s="600">
        <v>13</v>
      </c>
      <c r="E326" s="561">
        <v>15</v>
      </c>
      <c r="F326" s="561">
        <v>1</v>
      </c>
      <c r="G326" s="602">
        <v>1</v>
      </c>
      <c r="H326" s="561"/>
      <c r="I326" s="561"/>
      <c r="J326" s="658">
        <v>156812</v>
      </c>
      <c r="K326" s="658">
        <v>156812</v>
      </c>
      <c r="L326" s="658">
        <v>156812</v>
      </c>
      <c r="M326" s="595">
        <f t="shared" si="164"/>
        <v>23521.8</v>
      </c>
      <c r="N326" s="658">
        <f t="shared" si="165"/>
        <v>133290.20000000001</v>
      </c>
      <c r="O326" s="658">
        <f t="shared" si="166"/>
        <v>127158.8508</v>
      </c>
      <c r="P326" s="658">
        <f t="shared" si="167"/>
        <v>65883.3508</v>
      </c>
      <c r="Q326" s="658">
        <f t="shared" si="168"/>
        <v>6131.3492000000115</v>
      </c>
      <c r="R326" s="658"/>
      <c r="S326" s="707">
        <v>81075</v>
      </c>
      <c r="T326" s="621">
        <f t="shared" si="171"/>
        <v>1621.5</v>
      </c>
      <c r="U326" s="665">
        <f>245102/4-T326</f>
        <v>59654</v>
      </c>
      <c r="V326" s="658">
        <f t="shared" si="169"/>
        <v>19799.5</v>
      </c>
      <c r="W326" s="658"/>
      <c r="X326" s="607">
        <f t="shared" ref="X326:X341" si="172">((V326*37)+(P326*9))/(P326*46)</f>
        <v>0.43737765674335355</v>
      </c>
      <c r="Y326" s="608">
        <f t="shared" si="170"/>
        <v>972900</v>
      </c>
      <c r="AA326" s="609">
        <f>D326*'Don gia XCSDL DC'!$K$8</f>
        <v>5996.3809719789997</v>
      </c>
      <c r="AB326" s="609">
        <f>D326*'Don gia XCSDL DC'!$K$9</f>
        <v>5721.2785469790006</v>
      </c>
      <c r="AC326" s="609" t="e">
        <f>D326*'Don gia XCSDL DC'!#REF!</f>
        <v>#REF!</v>
      </c>
      <c r="AD326" s="609">
        <f>D326*'Don gia XCSDL DC'!$K$10</f>
        <v>23038.024799870902</v>
      </c>
      <c r="AE326" s="609">
        <f>J326*'Don gia XCSDL DC'!$K$11</f>
        <v>0</v>
      </c>
      <c r="AF326" s="609" t="e">
        <f>S326*'Don gia XCSDL DC'!#REF!</f>
        <v>#REF!</v>
      </c>
      <c r="AG326" s="609" t="e">
        <f>D326*'Don gia XCSDL DC'!#REF!</f>
        <v>#REF!</v>
      </c>
      <c r="AH326" s="609" t="e">
        <f>J326*'Don gia XCSDL DC'!#REF!</f>
        <v>#REF!</v>
      </c>
      <c r="AI326" s="609" t="e">
        <f>D326*'Don gia XCSDL DC'!#REF!</f>
        <v>#REF!</v>
      </c>
      <c r="AJ326" s="609">
        <f>S326*2*'Don gia XCSDL DC'!$K$24</f>
        <v>1386477833.8820286</v>
      </c>
      <c r="AK326" s="609" t="e">
        <f>S326*3*'Don gia XCSDL DC'!#REF!</f>
        <v>#REF!</v>
      </c>
      <c r="AL326" s="609" t="e">
        <f>(S326*2+S326*3)*('Don gia XCSDL DC'!#REF!+'Don gia XCSDL DC'!#REF!+'Don gia XCSDL DC'!#REF!)</f>
        <v>#REF!</v>
      </c>
      <c r="AM326" s="609" t="e">
        <f>O326*'Don gia XCSDL DC'!#REF!*50%</f>
        <v>#REF!</v>
      </c>
      <c r="AN326" s="609" t="e">
        <f>T326*'Don gia XCSDL DC'!#REF!*$AN$8</f>
        <v>#REF!</v>
      </c>
      <c r="AO326" s="609" t="e">
        <f>U326*'Don gia XCSDL DC'!#REF!*1</f>
        <v>#REF!</v>
      </c>
      <c r="AP326" s="609" t="e">
        <f>P326*X326*'Don gia XCSDL DC'!#REF!</f>
        <v>#REF!</v>
      </c>
      <c r="AQ326" s="609" t="e">
        <f>Q326*$AQ$8*'Don gia XCSDL DC'!#REF!</f>
        <v>#REF!</v>
      </c>
      <c r="AR326" s="609" t="e">
        <f>M326*$AR$8*'Don gia XCSDL DC'!#REF!</f>
        <v>#REF!</v>
      </c>
      <c r="AS326" s="609" t="e">
        <f>J326*'Don gia XCSDL DC'!#REF!</f>
        <v>#REF!</v>
      </c>
      <c r="AT326" s="609">
        <f>D326*'Don gia XCSDL DC'!$K$26</f>
        <v>0</v>
      </c>
      <c r="AU326" s="609">
        <f>J326*'Don gia XCSDL DC'!$K$34</f>
        <v>0</v>
      </c>
      <c r="AV326" s="609">
        <f>O326*'Don gia XCSDL DC'!$K$37</f>
        <v>0</v>
      </c>
      <c r="AW326" s="610" t="e">
        <f t="shared" si="155"/>
        <v>#REF!</v>
      </c>
      <c r="AX326" s="611" t="e">
        <f t="shared" si="156"/>
        <v>#REF!</v>
      </c>
      <c r="AY326" s="806" t="e">
        <f t="shared" ref="AY326:AY341" si="173">(AX326*100)/AW326</f>
        <v>#REF!</v>
      </c>
      <c r="AZ326" s="612" t="e">
        <f>D326*'Don gia XCSDL DC'!#REF!</f>
        <v>#REF!</v>
      </c>
      <c r="BA326" s="613" t="e">
        <f>(Q326+M326)*'Don gia XCSDL DC'!#REF!</f>
        <v>#REF!</v>
      </c>
    </row>
    <row r="327" spans="1:53" ht="24.75" customHeight="1">
      <c r="A327" s="599"/>
      <c r="B327" s="445">
        <v>9</v>
      </c>
      <c r="C327" s="445" t="s">
        <v>581</v>
      </c>
      <c r="D327" s="600">
        <v>15</v>
      </c>
      <c r="E327" s="561">
        <v>15</v>
      </c>
      <c r="F327" s="561">
        <v>1</v>
      </c>
      <c r="G327" s="602">
        <v>1</v>
      </c>
      <c r="H327" s="561"/>
      <c r="I327" s="561"/>
      <c r="J327" s="658">
        <v>115065</v>
      </c>
      <c r="K327" s="658">
        <v>115065</v>
      </c>
      <c r="L327" s="658">
        <v>115065</v>
      </c>
      <c r="M327" s="595">
        <f t="shared" si="164"/>
        <v>17259.75</v>
      </c>
      <c r="N327" s="658">
        <f t="shared" si="165"/>
        <v>97805.25</v>
      </c>
      <c r="O327" s="658">
        <f t="shared" si="166"/>
        <v>93306.208499999993</v>
      </c>
      <c r="P327" s="658">
        <f t="shared" si="167"/>
        <v>40062.608499999988</v>
      </c>
      <c r="Q327" s="658">
        <f t="shared" si="168"/>
        <v>4499.0415000000066</v>
      </c>
      <c r="R327" s="658"/>
      <c r="S327" s="707">
        <v>66355</v>
      </c>
      <c r="T327" s="621">
        <f t="shared" si="171"/>
        <v>1327.1000000000001</v>
      </c>
      <c r="U327" s="665">
        <f>133109/2.5-T327</f>
        <v>51916.5</v>
      </c>
      <c r="V327" s="658">
        <f t="shared" si="169"/>
        <v>13111.400000000001</v>
      </c>
      <c r="W327" s="658"/>
      <c r="X327" s="607">
        <f t="shared" si="172"/>
        <v>0.4588932977893514</v>
      </c>
      <c r="Y327" s="608">
        <f t="shared" si="170"/>
        <v>796260</v>
      </c>
      <c r="AA327" s="609">
        <f>D327*'Don gia XCSDL DC'!$K$8</f>
        <v>6918.9011215142309</v>
      </c>
      <c r="AB327" s="609">
        <f>D327*'Don gia XCSDL DC'!$K$9</f>
        <v>6601.4752465142319</v>
      </c>
      <c r="AC327" s="609" t="e">
        <f>D327*'Don gia XCSDL DC'!#REF!</f>
        <v>#REF!</v>
      </c>
      <c r="AD327" s="609">
        <f>D327*'Don gia XCSDL DC'!$K$10</f>
        <v>26582.336307543348</v>
      </c>
      <c r="AE327" s="609">
        <f>J327*'Don gia XCSDL DC'!$K$11</f>
        <v>0</v>
      </c>
      <c r="AF327" s="609" t="e">
        <f>S327*'Don gia XCSDL DC'!#REF!</f>
        <v>#REF!</v>
      </c>
      <c r="AG327" s="609" t="e">
        <f>D327*'Don gia XCSDL DC'!#REF!</f>
        <v>#REF!</v>
      </c>
      <c r="AH327" s="609" t="e">
        <f>J327*'Don gia XCSDL DC'!#REF!</f>
        <v>#REF!</v>
      </c>
      <c r="AI327" s="609" t="e">
        <f>D327*'Don gia XCSDL DC'!#REF!</f>
        <v>#REF!</v>
      </c>
      <c r="AJ327" s="609">
        <f>S327*2*'Don gia XCSDL DC'!$K$24</f>
        <v>1134748525.0353625</v>
      </c>
      <c r="AK327" s="609" t="e">
        <f>S327*3*'Don gia XCSDL DC'!#REF!</f>
        <v>#REF!</v>
      </c>
      <c r="AL327" s="609" t="e">
        <f>(S327*2+S327*3)*('Don gia XCSDL DC'!#REF!+'Don gia XCSDL DC'!#REF!+'Don gia XCSDL DC'!#REF!)</f>
        <v>#REF!</v>
      </c>
      <c r="AM327" s="609" t="e">
        <f>O327*'Don gia XCSDL DC'!#REF!*50%</f>
        <v>#REF!</v>
      </c>
      <c r="AN327" s="609" t="e">
        <f>T327*'Don gia XCSDL DC'!#REF!*$AN$8</f>
        <v>#REF!</v>
      </c>
      <c r="AO327" s="609" t="e">
        <f>U327*'Don gia XCSDL DC'!#REF!*1</f>
        <v>#REF!</v>
      </c>
      <c r="AP327" s="609" t="e">
        <f>P327*X327*'Don gia XCSDL DC'!#REF!</f>
        <v>#REF!</v>
      </c>
      <c r="AQ327" s="609" t="e">
        <f>Q327*$AQ$8*'Don gia XCSDL DC'!#REF!</f>
        <v>#REF!</v>
      </c>
      <c r="AR327" s="609" t="e">
        <f>M327*$AR$8*'Don gia XCSDL DC'!#REF!</f>
        <v>#REF!</v>
      </c>
      <c r="AS327" s="609" t="e">
        <f>J327*'Don gia XCSDL DC'!#REF!</f>
        <v>#REF!</v>
      </c>
      <c r="AT327" s="609">
        <f>D327*'Don gia XCSDL DC'!$K$26</f>
        <v>0</v>
      </c>
      <c r="AU327" s="609">
        <f>J327*'Don gia XCSDL DC'!$K$34</f>
        <v>0</v>
      </c>
      <c r="AV327" s="609">
        <f>O327*'Don gia XCSDL DC'!$K$37</f>
        <v>0</v>
      </c>
      <c r="AW327" s="610" t="e">
        <f t="shared" si="155"/>
        <v>#REF!</v>
      </c>
      <c r="AX327" s="611" t="e">
        <f t="shared" si="156"/>
        <v>#REF!</v>
      </c>
      <c r="AY327" s="806" t="e">
        <f t="shared" si="173"/>
        <v>#REF!</v>
      </c>
      <c r="AZ327" s="612" t="e">
        <f>D327*'Don gia XCSDL DC'!#REF!</f>
        <v>#REF!</v>
      </c>
      <c r="BA327" s="613" t="e">
        <f>(Q327+M327)*'Don gia XCSDL DC'!#REF!</f>
        <v>#REF!</v>
      </c>
    </row>
    <row r="328" spans="1:53" ht="24.75" customHeight="1">
      <c r="A328" s="599"/>
      <c r="B328" s="445">
        <v>10</v>
      </c>
      <c r="C328" s="445" t="s">
        <v>516</v>
      </c>
      <c r="D328" s="600">
        <v>13</v>
      </c>
      <c r="E328" s="561">
        <v>13</v>
      </c>
      <c r="F328" s="561">
        <v>1</v>
      </c>
      <c r="G328" s="602">
        <v>1</v>
      </c>
      <c r="H328" s="561"/>
      <c r="I328" s="561"/>
      <c r="J328" s="658">
        <v>110093</v>
      </c>
      <c r="K328" s="658">
        <v>110093</v>
      </c>
      <c r="L328" s="658">
        <v>110093</v>
      </c>
      <c r="M328" s="595">
        <f t="shared" si="164"/>
        <v>16513.95</v>
      </c>
      <c r="N328" s="658">
        <f t="shared" si="165"/>
        <v>93579.05</v>
      </c>
      <c r="O328" s="658">
        <f t="shared" si="166"/>
        <v>89274.413700000005</v>
      </c>
      <c r="P328" s="658">
        <f t="shared" si="167"/>
        <v>40782.127985714294</v>
      </c>
      <c r="Q328" s="658">
        <f t="shared" si="168"/>
        <v>4304.6362999999983</v>
      </c>
      <c r="R328" s="658"/>
      <c r="S328" s="707">
        <v>60324</v>
      </c>
      <c r="T328" s="621">
        <f t="shared" si="171"/>
        <v>1206.48</v>
      </c>
      <c r="U328" s="665">
        <f>169723/3.5-T328</f>
        <v>47285.805714285714</v>
      </c>
      <c r="V328" s="658">
        <f t="shared" si="169"/>
        <v>11831.714285714283</v>
      </c>
      <c r="W328" s="658"/>
      <c r="X328" s="607">
        <f t="shared" si="172"/>
        <v>0.42900963058940783</v>
      </c>
      <c r="Y328" s="608">
        <f t="shared" si="170"/>
        <v>723888</v>
      </c>
      <c r="AA328" s="609">
        <f>D328*'Don gia XCSDL DC'!$K$8</f>
        <v>5996.3809719789997</v>
      </c>
      <c r="AB328" s="609">
        <f>D328*'Don gia XCSDL DC'!$K$9</f>
        <v>5721.2785469790006</v>
      </c>
      <c r="AC328" s="609" t="e">
        <f>D328*'Don gia XCSDL DC'!#REF!</f>
        <v>#REF!</v>
      </c>
      <c r="AD328" s="609">
        <f>D328*'Don gia XCSDL DC'!$K$10</f>
        <v>23038.024799870902</v>
      </c>
      <c r="AE328" s="609">
        <f>J328*'Don gia XCSDL DC'!$K$11</f>
        <v>0</v>
      </c>
      <c r="AF328" s="609" t="e">
        <f>S328*'Don gia XCSDL DC'!#REF!</f>
        <v>#REF!</v>
      </c>
      <c r="AG328" s="609" t="e">
        <f>D328*'Don gia XCSDL DC'!#REF!</f>
        <v>#REF!</v>
      </c>
      <c r="AH328" s="609" t="e">
        <f>J328*'Don gia XCSDL DC'!#REF!</f>
        <v>#REF!</v>
      </c>
      <c r="AI328" s="609" t="e">
        <f>D328*'Don gia XCSDL DC'!#REF!</f>
        <v>#REF!</v>
      </c>
      <c r="AJ328" s="609">
        <f>S328*2*'Don gia XCSDL DC'!$K$24</f>
        <v>1031611333.3468949</v>
      </c>
      <c r="AK328" s="609" t="e">
        <f>S328*3*'Don gia XCSDL DC'!#REF!</f>
        <v>#REF!</v>
      </c>
      <c r="AL328" s="609" t="e">
        <f>(S328*2+S328*3)*('Don gia XCSDL DC'!#REF!+'Don gia XCSDL DC'!#REF!+'Don gia XCSDL DC'!#REF!)</f>
        <v>#REF!</v>
      </c>
      <c r="AM328" s="609" t="e">
        <f>O328*'Don gia XCSDL DC'!#REF!*50%</f>
        <v>#REF!</v>
      </c>
      <c r="AN328" s="609" t="e">
        <f>T328*'Don gia XCSDL DC'!#REF!*$AN$8</f>
        <v>#REF!</v>
      </c>
      <c r="AO328" s="609" t="e">
        <f>U328*'Don gia XCSDL DC'!#REF!*1</f>
        <v>#REF!</v>
      </c>
      <c r="AP328" s="609" t="e">
        <f>P328*X328*'Don gia XCSDL DC'!#REF!</f>
        <v>#REF!</v>
      </c>
      <c r="AQ328" s="609" t="e">
        <f>Q328*$AQ$8*'Don gia XCSDL DC'!#REF!</f>
        <v>#REF!</v>
      </c>
      <c r="AR328" s="609" t="e">
        <f>M328*$AR$8*'Don gia XCSDL DC'!#REF!</f>
        <v>#REF!</v>
      </c>
      <c r="AS328" s="609" t="e">
        <f>J328*'Don gia XCSDL DC'!#REF!</f>
        <v>#REF!</v>
      </c>
      <c r="AT328" s="609">
        <f>D328*'Don gia XCSDL DC'!$K$26</f>
        <v>0</v>
      </c>
      <c r="AU328" s="609">
        <f>J328*'Don gia XCSDL DC'!$K$34</f>
        <v>0</v>
      </c>
      <c r="AV328" s="609">
        <f>O328*'Don gia XCSDL DC'!$K$37</f>
        <v>0</v>
      </c>
      <c r="AW328" s="610" t="e">
        <f t="shared" si="155"/>
        <v>#REF!</v>
      </c>
      <c r="AX328" s="611" t="e">
        <f t="shared" si="156"/>
        <v>#REF!</v>
      </c>
      <c r="AY328" s="806" t="e">
        <f t="shared" si="173"/>
        <v>#REF!</v>
      </c>
      <c r="AZ328" s="612" t="e">
        <f>D328*'Don gia XCSDL DC'!#REF!</f>
        <v>#REF!</v>
      </c>
      <c r="BA328" s="613" t="e">
        <f>(Q328+M328)*'Don gia XCSDL DC'!#REF!</f>
        <v>#REF!</v>
      </c>
    </row>
    <row r="329" spans="1:53" s="723" customFormat="1" ht="24.75" customHeight="1">
      <c r="A329" s="712"/>
      <c r="B329" s="713"/>
      <c r="C329" s="713" t="s">
        <v>582</v>
      </c>
      <c r="D329" s="714">
        <v>7</v>
      </c>
      <c r="E329" s="775">
        <v>7</v>
      </c>
      <c r="F329" s="775"/>
      <c r="G329" s="775">
        <v>1</v>
      </c>
      <c r="H329" s="775"/>
      <c r="I329" s="775"/>
      <c r="J329" s="778">
        <v>63297</v>
      </c>
      <c r="K329" s="716"/>
      <c r="L329" s="734">
        <v>63297</v>
      </c>
      <c r="M329" s="777">
        <f t="shared" si="164"/>
        <v>9494.5499999999993</v>
      </c>
      <c r="N329" s="778">
        <f t="shared" si="165"/>
        <v>53802.45</v>
      </c>
      <c r="O329" s="778">
        <f t="shared" si="166"/>
        <v>51327.537299999996</v>
      </c>
      <c r="P329" s="778">
        <f t="shared" si="167"/>
        <v>51327.537299999996</v>
      </c>
      <c r="Q329" s="778">
        <f t="shared" si="168"/>
        <v>2474.9127000000008</v>
      </c>
      <c r="R329" s="778"/>
      <c r="S329" s="778"/>
      <c r="T329" s="778"/>
      <c r="V329" s="778">
        <f t="shared" si="169"/>
        <v>0</v>
      </c>
      <c r="W329" s="778"/>
      <c r="X329" s="721">
        <f t="shared" si="172"/>
        <v>0.19565217391304346</v>
      </c>
      <c r="Y329" s="722"/>
      <c r="AA329" s="609"/>
      <c r="AB329" s="609"/>
      <c r="AC329" s="609"/>
      <c r="AD329" s="724"/>
      <c r="AE329" s="724"/>
      <c r="AF329" s="724"/>
      <c r="AG329" s="724"/>
      <c r="AH329" s="724"/>
      <c r="AI329" s="724"/>
      <c r="AJ329" s="724"/>
      <c r="AK329" s="724"/>
      <c r="AL329" s="724"/>
      <c r="AM329" s="724"/>
      <c r="AN329" s="724"/>
      <c r="AO329" s="724"/>
      <c r="AP329" s="724"/>
      <c r="AQ329" s="724"/>
      <c r="AR329" s="724"/>
      <c r="AS329" s="724"/>
      <c r="AT329" s="724"/>
      <c r="AU329" s="724"/>
      <c r="AV329" s="609"/>
      <c r="AW329" s="610"/>
      <c r="AX329" s="611"/>
      <c r="AY329" s="807"/>
      <c r="AZ329" s="612"/>
      <c r="BA329" s="613"/>
    </row>
    <row r="330" spans="1:53" s="598" customFormat="1" ht="24.75" customHeight="1">
      <c r="A330" s="589">
        <v>8</v>
      </c>
      <c r="B330" s="1945" t="s">
        <v>583</v>
      </c>
      <c r="C330" s="1945"/>
      <c r="D330" s="594"/>
      <c r="E330" s="595">
        <f>SUM(E331:E334)</f>
        <v>51</v>
      </c>
      <c r="F330" s="595">
        <f>SUM(F331:F334)</f>
        <v>4</v>
      </c>
      <c r="G330" s="596">
        <f>SUM(G331:G336)</f>
        <v>6</v>
      </c>
      <c r="H330" s="595">
        <v>15</v>
      </c>
      <c r="I330" s="595"/>
      <c r="J330" s="595">
        <f>SUM(J331:J334)</f>
        <v>367077</v>
      </c>
      <c r="K330" s="595">
        <f>SUM(K331:K334)</f>
        <v>244718</v>
      </c>
      <c r="L330" s="595">
        <f>SUM(L331:L334)</f>
        <v>0</v>
      </c>
      <c r="M330" s="595"/>
      <c r="N330" s="658"/>
      <c r="O330" s="658"/>
      <c r="P330" s="658"/>
      <c r="Q330" s="658"/>
      <c r="R330" s="658"/>
      <c r="S330" s="595"/>
      <c r="T330" s="702"/>
      <c r="U330" s="573"/>
      <c r="V330" s="658">
        <f t="shared" si="169"/>
        <v>0</v>
      </c>
      <c r="W330" s="597">
        <v>0.879</v>
      </c>
      <c r="X330" s="607" t="e">
        <f t="shared" si="172"/>
        <v>#DIV/0!</v>
      </c>
      <c r="Y330" s="608"/>
      <c r="AA330" s="609"/>
      <c r="AB330" s="609"/>
      <c r="AC330" s="609"/>
      <c r="AD330" s="609"/>
      <c r="AE330" s="609"/>
      <c r="AF330" s="609"/>
      <c r="AG330" s="609"/>
      <c r="AH330" s="609"/>
      <c r="AI330" s="609"/>
      <c r="AJ330" s="609"/>
      <c r="AK330" s="609"/>
      <c r="AL330" s="609"/>
      <c r="AM330" s="609"/>
      <c r="AN330" s="609"/>
      <c r="AO330" s="609"/>
      <c r="AP330" s="609"/>
      <c r="AQ330" s="609"/>
      <c r="AR330" s="609"/>
      <c r="AS330" s="609"/>
      <c r="AT330" s="609"/>
      <c r="AU330" s="609"/>
      <c r="AV330" s="609"/>
      <c r="AW330" s="610"/>
      <c r="AX330" s="611"/>
      <c r="AY330" s="806"/>
      <c r="AZ330" s="612"/>
      <c r="BA330" s="613"/>
    </row>
    <row r="331" spans="1:53" ht="24.75" customHeight="1">
      <c r="A331" s="599"/>
      <c r="B331" s="445">
        <v>1</v>
      </c>
      <c r="C331" s="445" t="s">
        <v>584</v>
      </c>
      <c r="D331" s="600">
        <v>12</v>
      </c>
      <c r="E331" s="561">
        <v>12</v>
      </c>
      <c r="F331" s="561">
        <v>1</v>
      </c>
      <c r="G331" s="602">
        <v>1</v>
      </c>
      <c r="H331" s="561"/>
      <c r="I331" s="561"/>
      <c r="J331" s="708">
        <f>39921*1.5</f>
        <v>59881.5</v>
      </c>
      <c r="K331" s="658">
        <v>39921</v>
      </c>
      <c r="L331" s="658"/>
      <c r="M331" s="595">
        <f>J331*5%</f>
        <v>2994.0750000000003</v>
      </c>
      <c r="N331" s="658">
        <f>J331-M331</f>
        <v>56887.425000000003</v>
      </c>
      <c r="O331" s="658">
        <f>$N331*$W$330</f>
        <v>50004.046575</v>
      </c>
      <c r="P331" s="658">
        <f>O331-T331-U331</f>
        <v>12055.046575</v>
      </c>
      <c r="Q331" s="658">
        <f>N331-O331</f>
        <v>6883.3784250000026</v>
      </c>
      <c r="R331" s="658"/>
      <c r="S331" s="658">
        <v>38499</v>
      </c>
      <c r="T331" s="621">
        <f>S331*0.5</f>
        <v>19249.5</v>
      </c>
      <c r="U331" s="665">
        <f>S331-T331-550</f>
        <v>18699.5</v>
      </c>
      <c r="V331" s="658">
        <f t="shared" si="169"/>
        <v>550</v>
      </c>
      <c r="W331" s="658"/>
      <c r="X331" s="607">
        <f t="shared" si="172"/>
        <v>0.23234977616580174</v>
      </c>
      <c r="Y331" s="608">
        <f>S331*12</f>
        <v>461988</v>
      </c>
      <c r="AA331" s="609">
        <f>D331*'Don gia XCSDL DC'!$K$8</f>
        <v>5535.1208972113845</v>
      </c>
      <c r="AB331" s="609">
        <f>D331*'Don gia XCSDL DC'!$K$9</f>
        <v>5281.1801972113853</v>
      </c>
      <c r="AC331" s="609" t="e">
        <f>D331*'Don gia XCSDL DC'!#REF!</f>
        <v>#REF!</v>
      </c>
      <c r="AD331" s="609">
        <f>D331*'Don gia XCSDL DC'!$K$10</f>
        <v>21265.869046034681</v>
      </c>
      <c r="AE331" s="609">
        <f>J331*'Don gia XCSDL DC'!$K$11</f>
        <v>0</v>
      </c>
      <c r="AF331" s="609" t="e">
        <f>S331*'Don gia XCSDL DC'!#REF!</f>
        <v>#REF!</v>
      </c>
      <c r="AG331" s="609" t="e">
        <f>D331*'Don gia XCSDL DC'!#REF!</f>
        <v>#REF!</v>
      </c>
      <c r="AH331" s="609" t="e">
        <f>J331*'Don gia XCSDL DC'!#REF!</f>
        <v>#REF!</v>
      </c>
      <c r="AI331" s="609" t="e">
        <f>D331*'Don gia XCSDL DC'!#REF!</f>
        <v>#REF!</v>
      </c>
      <c r="AJ331" s="609">
        <f>S331*2*'Don gia XCSDL DC'!$K$24</f>
        <v>658378169.92444313</v>
      </c>
      <c r="AK331" s="609" t="e">
        <f>S331*3*'Don gia XCSDL DC'!#REF!</f>
        <v>#REF!</v>
      </c>
      <c r="AL331" s="609" t="e">
        <f>(S331*2+S331*3)*('Don gia XCSDL DC'!#REF!+'Don gia XCSDL DC'!#REF!+'Don gia XCSDL DC'!#REF!)</f>
        <v>#REF!</v>
      </c>
      <c r="AM331" s="609" t="e">
        <f>O331*'Don gia XCSDL DC'!#REF!*50%</f>
        <v>#REF!</v>
      </c>
      <c r="AN331" s="609" t="e">
        <f>T331*'Don gia XCSDL DC'!#REF!*$AN$8</f>
        <v>#REF!</v>
      </c>
      <c r="AO331" s="609" t="e">
        <f>U331*'Don gia XCSDL DC'!#REF!*1</f>
        <v>#REF!</v>
      </c>
      <c r="AP331" s="609" t="e">
        <f>P331*X331*'Don gia XCSDL DC'!#REF!</f>
        <v>#REF!</v>
      </c>
      <c r="AQ331" s="609" t="e">
        <f>Q331*$AQ$8*'Don gia XCSDL DC'!#REF!</f>
        <v>#REF!</v>
      </c>
      <c r="AR331" s="609" t="e">
        <f>M331*$AR$8*'Don gia XCSDL DC'!#REF!</f>
        <v>#REF!</v>
      </c>
      <c r="AS331" s="609" t="e">
        <f>J331*'Don gia XCSDL DC'!#REF!</f>
        <v>#REF!</v>
      </c>
      <c r="AT331" s="609">
        <f>D331*'Don gia XCSDL DC'!$K$26</f>
        <v>0</v>
      </c>
      <c r="AU331" s="609">
        <f>J331*'Don gia XCSDL DC'!$K$34</f>
        <v>0</v>
      </c>
      <c r="AV331" s="609">
        <f>O331*'Don gia XCSDL DC'!$K$37</f>
        <v>0</v>
      </c>
      <c r="AW331" s="610" t="e">
        <f t="shared" si="155"/>
        <v>#REF!</v>
      </c>
      <c r="AX331" s="611" t="e">
        <f t="shared" si="156"/>
        <v>#REF!</v>
      </c>
      <c r="AY331" s="806" t="e">
        <f t="shared" si="173"/>
        <v>#REF!</v>
      </c>
      <c r="AZ331" s="612" t="e">
        <f>D331*'Don gia XCSDL DC'!#REF!</f>
        <v>#REF!</v>
      </c>
      <c r="BA331" s="613" t="e">
        <f>(Q331+M331)*'Don gia XCSDL DC'!#REF!</f>
        <v>#REF!</v>
      </c>
    </row>
    <row r="332" spans="1:53" ht="24.75" customHeight="1">
      <c r="A332" s="599"/>
      <c r="B332" s="445">
        <v>2</v>
      </c>
      <c r="C332" s="445" t="s">
        <v>585</v>
      </c>
      <c r="D332" s="600">
        <v>11</v>
      </c>
      <c r="E332" s="561">
        <v>11</v>
      </c>
      <c r="F332" s="561">
        <v>1</v>
      </c>
      <c r="G332" s="602">
        <v>1</v>
      </c>
      <c r="H332" s="561"/>
      <c r="I332" s="561"/>
      <c r="J332" s="708">
        <f>62979*1.5</f>
        <v>94468.5</v>
      </c>
      <c r="K332" s="658">
        <v>62979</v>
      </c>
      <c r="L332" s="658"/>
      <c r="M332" s="595">
        <f>J332*5%</f>
        <v>4723.4250000000002</v>
      </c>
      <c r="N332" s="658">
        <f>J332-M332</f>
        <v>89745.074999999997</v>
      </c>
      <c r="O332" s="658">
        <f>$N332*$W$330</f>
        <v>78885.920924999999</v>
      </c>
      <c r="P332" s="658">
        <f>O332-T332-U332</f>
        <v>16970.70353369564</v>
      </c>
      <c r="Q332" s="658">
        <f>N332-O332</f>
        <v>10859.154074999999</v>
      </c>
      <c r="R332" s="658"/>
      <c r="S332" s="658">
        <v>62512</v>
      </c>
      <c r="T332" s="621">
        <f>S332*0.05</f>
        <v>3125.6000000000004</v>
      </c>
      <c r="U332" s="665">
        <f>142405/2.3-T332</f>
        <v>58789.617391304353</v>
      </c>
      <c r="V332" s="658">
        <f t="shared" si="169"/>
        <v>596.78260869564838</v>
      </c>
      <c r="W332" s="658"/>
      <c r="X332" s="607">
        <f t="shared" si="172"/>
        <v>0.22393743580556064</v>
      </c>
      <c r="Y332" s="608">
        <f>S332*12</f>
        <v>750144</v>
      </c>
      <c r="AA332" s="609">
        <f>D332*'Don gia XCSDL DC'!$K$8</f>
        <v>5073.8608224437694</v>
      </c>
      <c r="AB332" s="609">
        <f>D332*'Don gia XCSDL DC'!$K$9</f>
        <v>4841.0818474437701</v>
      </c>
      <c r="AC332" s="609" t="e">
        <f>D332*'Don gia XCSDL DC'!#REF!</f>
        <v>#REF!</v>
      </c>
      <c r="AD332" s="609">
        <f>D332*'Don gia XCSDL DC'!$K$10</f>
        <v>19493.713292198456</v>
      </c>
      <c r="AE332" s="609">
        <f>J332*'Don gia XCSDL DC'!$K$11</f>
        <v>0</v>
      </c>
      <c r="AF332" s="609" t="e">
        <f>S332*'Don gia XCSDL DC'!#REF!</f>
        <v>#REF!</v>
      </c>
      <c r="AG332" s="609" t="e">
        <f>D332*'Don gia XCSDL DC'!#REF!</f>
        <v>#REF!</v>
      </c>
      <c r="AH332" s="609" t="e">
        <f>J332*'Don gia XCSDL DC'!#REF!</f>
        <v>#REF!</v>
      </c>
      <c r="AI332" s="609" t="e">
        <f>D332*'Don gia XCSDL DC'!#REF!</f>
        <v>#REF!</v>
      </c>
      <c r="AJ332" s="609">
        <f>S332*2*'Don gia XCSDL DC'!$K$24</f>
        <v>1069028706.15644</v>
      </c>
      <c r="AK332" s="609" t="e">
        <f>S332*3*'Don gia XCSDL DC'!#REF!</f>
        <v>#REF!</v>
      </c>
      <c r="AL332" s="609" t="e">
        <f>(S332*2+S332*3)*('Don gia XCSDL DC'!#REF!+'Don gia XCSDL DC'!#REF!+'Don gia XCSDL DC'!#REF!)</f>
        <v>#REF!</v>
      </c>
      <c r="AM332" s="609" t="e">
        <f>O332*'Don gia XCSDL DC'!#REF!*50%</f>
        <v>#REF!</v>
      </c>
      <c r="AN332" s="609" t="e">
        <f>T332*'Don gia XCSDL DC'!#REF!*$AN$8</f>
        <v>#REF!</v>
      </c>
      <c r="AO332" s="609" t="e">
        <f>U332*'Don gia XCSDL DC'!#REF!*1</f>
        <v>#REF!</v>
      </c>
      <c r="AP332" s="609" t="e">
        <f>P332*X332*'Don gia XCSDL DC'!#REF!</f>
        <v>#REF!</v>
      </c>
      <c r="AQ332" s="609" t="e">
        <f>Q332*$AQ$8*'Don gia XCSDL DC'!#REF!</f>
        <v>#REF!</v>
      </c>
      <c r="AR332" s="609" t="e">
        <f>M332*$AR$8*'Don gia XCSDL DC'!#REF!</f>
        <v>#REF!</v>
      </c>
      <c r="AS332" s="609" t="e">
        <f>J332*'Don gia XCSDL DC'!#REF!</f>
        <v>#REF!</v>
      </c>
      <c r="AT332" s="609">
        <f>D332*'Don gia XCSDL DC'!$K$26</f>
        <v>0</v>
      </c>
      <c r="AU332" s="609">
        <f>J332*'Don gia XCSDL DC'!$K$34</f>
        <v>0</v>
      </c>
      <c r="AV332" s="609">
        <f>O332*'Don gia XCSDL DC'!$K$37</f>
        <v>0</v>
      </c>
      <c r="AW332" s="610" t="e">
        <f t="shared" si="155"/>
        <v>#REF!</v>
      </c>
      <c r="AX332" s="611" t="e">
        <f t="shared" si="156"/>
        <v>#REF!</v>
      </c>
      <c r="AY332" s="806" t="e">
        <f t="shared" si="173"/>
        <v>#REF!</v>
      </c>
      <c r="AZ332" s="612" t="e">
        <f>D332*'Don gia XCSDL DC'!#REF!</f>
        <v>#REF!</v>
      </c>
      <c r="BA332" s="613" t="e">
        <f>(Q332+M332)*'Don gia XCSDL DC'!#REF!</f>
        <v>#REF!</v>
      </c>
    </row>
    <row r="333" spans="1:53" ht="24.75" customHeight="1">
      <c r="A333" s="599"/>
      <c r="B333" s="445">
        <v>3</v>
      </c>
      <c r="C333" s="445" t="s">
        <v>586</v>
      </c>
      <c r="D333" s="600">
        <v>19</v>
      </c>
      <c r="E333" s="561">
        <v>19</v>
      </c>
      <c r="F333" s="561">
        <v>1</v>
      </c>
      <c r="G333" s="602">
        <v>1</v>
      </c>
      <c r="H333" s="561"/>
      <c r="I333" s="561"/>
      <c r="J333" s="708">
        <f>96794*1.5</f>
        <v>145191</v>
      </c>
      <c r="K333" s="658">
        <v>96794</v>
      </c>
      <c r="L333" s="658"/>
      <c r="M333" s="595">
        <f>J333*5%</f>
        <v>7259.55</v>
      </c>
      <c r="N333" s="658">
        <f>J333-M333</f>
        <v>137931.45000000001</v>
      </c>
      <c r="O333" s="658">
        <f>$N333*$W$330</f>
        <v>121241.74455000002</v>
      </c>
      <c r="P333" s="658">
        <f>O333-T333-U333</f>
        <v>29286.961941304355</v>
      </c>
      <c r="Q333" s="658">
        <f>N333-O333</f>
        <v>16689.705449999994</v>
      </c>
      <c r="R333" s="658"/>
      <c r="S333" s="658">
        <v>93225</v>
      </c>
      <c r="T333" s="621">
        <f>S333*0.05</f>
        <v>4661.25</v>
      </c>
      <c r="U333" s="665">
        <f>211496/2.3-T333</f>
        <v>87293.532608695663</v>
      </c>
      <c r="V333" s="658">
        <f t="shared" si="169"/>
        <v>1270.2173913043371</v>
      </c>
      <c r="W333" s="658"/>
      <c r="X333" s="607">
        <f t="shared" si="172"/>
        <v>0.2305378885665855</v>
      </c>
      <c r="Y333" s="608">
        <f>S333*12</f>
        <v>1118700</v>
      </c>
      <c r="AA333" s="609">
        <f>D333*'Don gia XCSDL DC'!$K$8</f>
        <v>8763.9414205846915</v>
      </c>
      <c r="AB333" s="609">
        <f>D333*'Don gia XCSDL DC'!$K$9</f>
        <v>8361.8686455846928</v>
      </c>
      <c r="AC333" s="609" t="e">
        <f>D333*'Don gia XCSDL DC'!#REF!</f>
        <v>#REF!</v>
      </c>
      <c r="AD333" s="609">
        <f>D333*'Don gia XCSDL DC'!$K$10</f>
        <v>33670.959322888244</v>
      </c>
      <c r="AE333" s="609">
        <f>J333*'Don gia XCSDL DC'!$K$11</f>
        <v>0</v>
      </c>
      <c r="AF333" s="609" t="e">
        <f>S333*'Don gia XCSDL DC'!#REF!</f>
        <v>#REF!</v>
      </c>
      <c r="AG333" s="609" t="e">
        <f>D333*'Don gia XCSDL DC'!#REF!</f>
        <v>#REF!</v>
      </c>
      <c r="AH333" s="609" t="e">
        <f>J333*'Don gia XCSDL DC'!#REF!</f>
        <v>#REF!</v>
      </c>
      <c r="AI333" s="609" t="e">
        <f>D333*'Don gia XCSDL DC'!#REF!</f>
        <v>#REF!</v>
      </c>
      <c r="AJ333" s="609">
        <f>S333*2*'Don gia XCSDL DC'!$K$24</f>
        <v>1594257120.7357647</v>
      </c>
      <c r="AK333" s="609" t="e">
        <f>S333*3*'Don gia XCSDL DC'!#REF!</f>
        <v>#REF!</v>
      </c>
      <c r="AL333" s="609" t="e">
        <f>(S333*2+S333*3)*('Don gia XCSDL DC'!#REF!+'Don gia XCSDL DC'!#REF!+'Don gia XCSDL DC'!#REF!)</f>
        <v>#REF!</v>
      </c>
      <c r="AM333" s="609" t="e">
        <f>O333*'Don gia XCSDL DC'!#REF!*50%</f>
        <v>#REF!</v>
      </c>
      <c r="AN333" s="609" t="e">
        <f>T333*'Don gia XCSDL DC'!#REF!*$AN$8</f>
        <v>#REF!</v>
      </c>
      <c r="AO333" s="609" t="e">
        <f>U333*'Don gia XCSDL DC'!#REF!*1</f>
        <v>#REF!</v>
      </c>
      <c r="AP333" s="609" t="e">
        <f>P333*X333*'Don gia XCSDL DC'!#REF!</f>
        <v>#REF!</v>
      </c>
      <c r="AQ333" s="609" t="e">
        <f>Q333*$AQ$8*'Don gia XCSDL DC'!#REF!</f>
        <v>#REF!</v>
      </c>
      <c r="AR333" s="609" t="e">
        <f>M333*$AR$8*'Don gia XCSDL DC'!#REF!</f>
        <v>#REF!</v>
      </c>
      <c r="AS333" s="609" t="e">
        <f>J333*'Don gia XCSDL DC'!#REF!</f>
        <v>#REF!</v>
      </c>
      <c r="AT333" s="609">
        <f>D333*'Don gia XCSDL DC'!$K$26</f>
        <v>0</v>
      </c>
      <c r="AU333" s="609">
        <f>J333*'Don gia XCSDL DC'!$K$34</f>
        <v>0</v>
      </c>
      <c r="AV333" s="609">
        <f>O333*'Don gia XCSDL DC'!$K$37</f>
        <v>0</v>
      </c>
      <c r="AW333" s="610" t="e">
        <f t="shared" si="155"/>
        <v>#REF!</v>
      </c>
      <c r="AX333" s="611" t="e">
        <f t="shared" si="156"/>
        <v>#REF!</v>
      </c>
      <c r="AY333" s="806" t="e">
        <f t="shared" si="173"/>
        <v>#REF!</v>
      </c>
      <c r="AZ333" s="612" t="e">
        <f>D333*'Don gia XCSDL DC'!#REF!</f>
        <v>#REF!</v>
      </c>
      <c r="BA333" s="613" t="e">
        <f>(Q333+M333)*'Don gia XCSDL DC'!#REF!</f>
        <v>#REF!</v>
      </c>
    </row>
    <row r="334" spans="1:53" ht="24.75" customHeight="1">
      <c r="A334" s="599"/>
      <c r="B334" s="445">
        <v>4</v>
      </c>
      <c r="C334" s="445" t="s">
        <v>516</v>
      </c>
      <c r="D334" s="600">
        <v>10</v>
      </c>
      <c r="E334" s="709">
        <v>9</v>
      </c>
      <c r="F334" s="561">
        <v>1</v>
      </c>
      <c r="G334" s="602">
        <v>1</v>
      </c>
      <c r="H334" s="561"/>
      <c r="I334" s="561"/>
      <c r="J334" s="708">
        <f>45024*1.5</f>
        <v>67536</v>
      </c>
      <c r="K334" s="658">
        <v>45024</v>
      </c>
      <c r="L334" s="658"/>
      <c r="M334" s="595">
        <f>J334*5%</f>
        <v>3376.8</v>
      </c>
      <c r="N334" s="658">
        <f>J334-M334</f>
        <v>64159.199999999997</v>
      </c>
      <c r="O334" s="658">
        <f>$N334*$W$330</f>
        <v>56395.936799999996</v>
      </c>
      <c r="P334" s="658">
        <f>O334-T334-U334</f>
        <v>14020.793942857141</v>
      </c>
      <c r="Q334" s="658">
        <f>N334-O334</f>
        <v>7763.2632000000012</v>
      </c>
      <c r="R334" s="658"/>
      <c r="S334" s="658">
        <v>43534</v>
      </c>
      <c r="T334" s="621">
        <f>S334*0.05</f>
        <v>2176.7000000000003</v>
      </c>
      <c r="U334" s="665">
        <f>148313/3.5-T334</f>
        <v>40198.442857142858</v>
      </c>
      <c r="V334" s="658">
        <f t="shared" si="169"/>
        <v>1158.8571428571449</v>
      </c>
      <c r="W334" s="658"/>
      <c r="X334" s="607">
        <f t="shared" si="172"/>
        <v>0.26213373176215188</v>
      </c>
      <c r="Y334" s="608">
        <f>S334*12</f>
        <v>522408</v>
      </c>
      <c r="AA334" s="609">
        <f>D334*'Don gia XCSDL DC'!$K$8</f>
        <v>4612.6007476761533</v>
      </c>
      <c r="AB334" s="609">
        <f>D334*'Don gia XCSDL DC'!$K$9</f>
        <v>4400.983497676154</v>
      </c>
      <c r="AC334" s="609" t="e">
        <f>D334*'Don gia XCSDL DC'!#REF!</f>
        <v>#REF!</v>
      </c>
      <c r="AD334" s="609">
        <f>D334*'Don gia XCSDL DC'!$K$10</f>
        <v>17721.557538362234</v>
      </c>
      <c r="AE334" s="609">
        <f>J334*'Don gia XCSDL DC'!$K$11</f>
        <v>0</v>
      </c>
      <c r="AF334" s="609" t="e">
        <f>S334*'Don gia XCSDL DC'!#REF!</f>
        <v>#REF!</v>
      </c>
      <c r="AG334" s="609" t="e">
        <f>D334*'Don gia XCSDL DC'!#REF!</f>
        <v>#REF!</v>
      </c>
      <c r="AH334" s="609" t="e">
        <f>J334*'Don gia XCSDL DC'!#REF!</f>
        <v>#REF!</v>
      </c>
      <c r="AI334" s="609" t="e">
        <f>D334*'Don gia XCSDL DC'!#REF!</f>
        <v>#REF!</v>
      </c>
      <c r="AJ334" s="609">
        <f>S334*2*'Don gia XCSDL DC'!$K$24</f>
        <v>744482590.44366622</v>
      </c>
      <c r="AK334" s="609" t="e">
        <f>S334*3*'Don gia XCSDL DC'!#REF!</f>
        <v>#REF!</v>
      </c>
      <c r="AL334" s="609" t="e">
        <f>(S334*2+S334*3)*('Don gia XCSDL DC'!#REF!+'Don gia XCSDL DC'!#REF!+'Don gia XCSDL DC'!#REF!)</f>
        <v>#REF!</v>
      </c>
      <c r="AM334" s="609" t="e">
        <f>O334*'Don gia XCSDL DC'!#REF!*50%</f>
        <v>#REF!</v>
      </c>
      <c r="AN334" s="609" t="e">
        <f>T334*'Don gia XCSDL DC'!#REF!*$AN$8</f>
        <v>#REF!</v>
      </c>
      <c r="AO334" s="609" t="e">
        <f>U334*'Don gia XCSDL DC'!#REF!*1</f>
        <v>#REF!</v>
      </c>
      <c r="AP334" s="609" t="e">
        <f>P334*X334*'Don gia XCSDL DC'!#REF!</f>
        <v>#REF!</v>
      </c>
      <c r="AQ334" s="609" t="e">
        <f>Q334*$AQ$8*'Don gia XCSDL DC'!#REF!</f>
        <v>#REF!</v>
      </c>
      <c r="AR334" s="609" t="e">
        <f>M334*$AR$8*'Don gia XCSDL DC'!#REF!</f>
        <v>#REF!</v>
      </c>
      <c r="AS334" s="609" t="e">
        <f>J334*'Don gia XCSDL DC'!#REF!</f>
        <v>#REF!</v>
      </c>
      <c r="AT334" s="609">
        <f>D334*'Don gia XCSDL DC'!$K$26</f>
        <v>0</v>
      </c>
      <c r="AU334" s="609">
        <f>J334*'Don gia XCSDL DC'!$K$34</f>
        <v>0</v>
      </c>
      <c r="AV334" s="609">
        <f>O334*'Don gia XCSDL DC'!$K$37</f>
        <v>0</v>
      </c>
      <c r="AW334" s="610" t="e">
        <f t="shared" si="155"/>
        <v>#REF!</v>
      </c>
      <c r="AX334" s="611" t="e">
        <f t="shared" si="156"/>
        <v>#REF!</v>
      </c>
      <c r="AY334" s="806" t="e">
        <f t="shared" si="173"/>
        <v>#REF!</v>
      </c>
      <c r="AZ334" s="612" t="e">
        <f>D334*'Don gia XCSDL DC'!#REF!</f>
        <v>#REF!</v>
      </c>
      <c r="BA334" s="613" t="e">
        <f>(Q334+M334)*'Don gia XCSDL DC'!#REF!</f>
        <v>#REF!</v>
      </c>
    </row>
    <row r="335" spans="1:53" s="723" customFormat="1" ht="24.75" customHeight="1">
      <c r="A335" s="712"/>
      <c r="B335" s="713"/>
      <c r="C335" s="713" t="s">
        <v>587</v>
      </c>
      <c r="D335" s="714">
        <v>7</v>
      </c>
      <c r="E335" s="775">
        <v>7</v>
      </c>
      <c r="F335" s="775"/>
      <c r="G335" s="775">
        <v>1</v>
      </c>
      <c r="H335" s="775"/>
      <c r="I335" s="775"/>
      <c r="J335" s="778">
        <f>20340*1.5</f>
        <v>30510</v>
      </c>
      <c r="K335" s="716"/>
      <c r="L335" s="734">
        <v>20340.066666666666</v>
      </c>
      <c r="M335" s="777"/>
      <c r="N335" s="778"/>
      <c r="O335" s="778"/>
      <c r="P335" s="778"/>
      <c r="Q335" s="778"/>
      <c r="R335" s="778"/>
      <c r="S335" s="778"/>
      <c r="T335" s="778"/>
      <c r="U335" s="716"/>
      <c r="V335" s="778"/>
      <c r="W335" s="778"/>
      <c r="X335" s="721"/>
      <c r="Y335" s="722"/>
      <c r="AA335" s="609"/>
      <c r="AB335" s="609"/>
      <c r="AC335" s="609"/>
      <c r="AD335" s="724"/>
      <c r="AE335" s="724"/>
      <c r="AF335" s="724"/>
      <c r="AG335" s="724"/>
      <c r="AH335" s="724"/>
      <c r="AI335" s="724"/>
      <c r="AJ335" s="724"/>
      <c r="AK335" s="724"/>
      <c r="AL335" s="724"/>
      <c r="AM335" s="724"/>
      <c r="AN335" s="724"/>
      <c r="AO335" s="724"/>
      <c r="AP335" s="724"/>
      <c r="AQ335" s="724"/>
      <c r="AR335" s="724"/>
      <c r="AS335" s="724"/>
      <c r="AT335" s="724"/>
      <c r="AU335" s="724"/>
      <c r="AV335" s="609"/>
      <c r="AW335" s="610"/>
      <c r="AX335" s="611"/>
      <c r="AY335" s="807"/>
      <c r="AZ335" s="612"/>
      <c r="BA335" s="613"/>
    </row>
    <row r="336" spans="1:53" s="723" customFormat="1" ht="24.75" customHeight="1">
      <c r="A336" s="712"/>
      <c r="B336" s="713"/>
      <c r="C336" s="713" t="s">
        <v>588</v>
      </c>
      <c r="D336" s="714">
        <v>10</v>
      </c>
      <c r="E336" s="775">
        <v>10</v>
      </c>
      <c r="F336" s="775"/>
      <c r="G336" s="775">
        <v>1</v>
      </c>
      <c r="H336" s="775"/>
      <c r="I336" s="775"/>
      <c r="J336" s="778">
        <f>60823*1.5</f>
        <v>91234.5</v>
      </c>
      <c r="K336" s="716"/>
      <c r="L336" s="778">
        <v>60823</v>
      </c>
      <c r="M336" s="777"/>
      <c r="N336" s="778"/>
      <c r="O336" s="778"/>
      <c r="P336" s="778"/>
      <c r="Q336" s="778"/>
      <c r="R336" s="778"/>
      <c r="S336" s="778"/>
      <c r="T336" s="778"/>
      <c r="U336" s="716"/>
      <c r="V336" s="778"/>
      <c r="W336" s="778"/>
      <c r="X336" s="721"/>
      <c r="Y336" s="722"/>
      <c r="AA336" s="609"/>
      <c r="AB336" s="609"/>
      <c r="AC336" s="609"/>
      <c r="AD336" s="724"/>
      <c r="AE336" s="724"/>
      <c r="AF336" s="724"/>
      <c r="AG336" s="724"/>
      <c r="AH336" s="724"/>
      <c r="AI336" s="724"/>
      <c r="AJ336" s="724"/>
      <c r="AK336" s="724"/>
      <c r="AL336" s="724"/>
      <c r="AM336" s="724"/>
      <c r="AN336" s="724"/>
      <c r="AO336" s="724"/>
      <c r="AP336" s="724"/>
      <c r="AQ336" s="724"/>
      <c r="AR336" s="724"/>
      <c r="AS336" s="724"/>
      <c r="AT336" s="724"/>
      <c r="AU336" s="724"/>
      <c r="AV336" s="609"/>
      <c r="AW336" s="610"/>
      <c r="AX336" s="611"/>
      <c r="AY336" s="807"/>
      <c r="AZ336" s="612"/>
      <c r="BA336" s="613"/>
    </row>
    <row r="337" spans="1:53" s="598" customFormat="1" ht="24.75" customHeight="1">
      <c r="A337" s="589">
        <v>9</v>
      </c>
      <c r="B337" s="1945" t="s">
        <v>589</v>
      </c>
      <c r="C337" s="1945"/>
      <c r="D337" s="594"/>
      <c r="E337" s="595">
        <f>SUM(E338:E341)</f>
        <v>35</v>
      </c>
      <c r="F337" s="595">
        <f>SUM(F338:F341)</f>
        <v>4</v>
      </c>
      <c r="G337" s="596">
        <f>SUM(G338:G343)</f>
        <v>6</v>
      </c>
      <c r="H337" s="595">
        <v>9</v>
      </c>
      <c r="I337" s="595"/>
      <c r="J337" s="595">
        <f>SUM(J338:J341)</f>
        <v>482491.29166666634</v>
      </c>
      <c r="K337" s="595">
        <f>SUM(K338:K341)</f>
        <v>182155</v>
      </c>
      <c r="L337" s="595">
        <f>SUM(L338:L341)</f>
        <v>426516.75000000006</v>
      </c>
      <c r="M337" s="595">
        <f>J337*15%</f>
        <v>72373.693749999948</v>
      </c>
      <c r="N337" s="658">
        <f>J337-M337</f>
        <v>410117.59791666642</v>
      </c>
      <c r="O337" s="658">
        <f>$N337*$W$337</f>
        <v>408477.12752499973</v>
      </c>
      <c r="P337" s="658">
        <f>O337-T337-U337</f>
        <v>185701.12752499973</v>
      </c>
      <c r="Q337" s="658">
        <f>N337-O337</f>
        <v>1640.4703916666913</v>
      </c>
      <c r="R337" s="658"/>
      <c r="S337" s="595">
        <v>501245</v>
      </c>
      <c r="T337" s="702">
        <f>ROUND(S337/H337*F337,0)</f>
        <v>222776</v>
      </c>
      <c r="U337" s="614"/>
      <c r="V337" s="658">
        <f>S337-T337-U337</f>
        <v>278469</v>
      </c>
      <c r="W337" s="597">
        <v>0.996</v>
      </c>
      <c r="X337" s="607">
        <f t="shared" si="172"/>
        <v>1.401815743126994</v>
      </c>
      <c r="Y337" s="608">
        <f>S337*12</f>
        <v>6014940</v>
      </c>
      <c r="AA337" s="609"/>
      <c r="AB337" s="609"/>
      <c r="AC337" s="609"/>
      <c r="AD337" s="609"/>
      <c r="AE337" s="609"/>
      <c r="AF337" s="609"/>
      <c r="AG337" s="609"/>
      <c r="AH337" s="609"/>
      <c r="AI337" s="609"/>
      <c r="AJ337" s="609"/>
      <c r="AK337" s="609"/>
      <c r="AL337" s="609"/>
      <c r="AM337" s="609"/>
      <c r="AN337" s="609"/>
      <c r="AO337" s="609"/>
      <c r="AP337" s="609"/>
      <c r="AQ337" s="609"/>
      <c r="AR337" s="609"/>
      <c r="AS337" s="609"/>
      <c r="AT337" s="609"/>
      <c r="AU337" s="609"/>
      <c r="AV337" s="609"/>
      <c r="AW337" s="610"/>
      <c r="AX337" s="611"/>
      <c r="AY337" s="806"/>
      <c r="AZ337" s="612"/>
      <c r="BA337" s="613"/>
    </row>
    <row r="338" spans="1:53" ht="24.75" customHeight="1">
      <c r="A338" s="599"/>
      <c r="B338" s="445">
        <v>1</v>
      </c>
      <c r="C338" s="445" t="s">
        <v>590</v>
      </c>
      <c r="D338" s="600">
        <v>13</v>
      </c>
      <c r="E338" s="561">
        <v>13</v>
      </c>
      <c r="F338" s="561">
        <v>1</v>
      </c>
      <c r="G338" s="602">
        <v>1</v>
      </c>
      <c r="H338" s="561"/>
      <c r="I338" s="561"/>
      <c r="J338" s="658">
        <f>162529.333333333*1.1</f>
        <v>178782.26666666631</v>
      </c>
      <c r="K338" s="658">
        <v>58840</v>
      </c>
      <c r="L338" s="658">
        <f>243794/3*2</f>
        <v>162529.33333333334</v>
      </c>
      <c r="M338" s="595">
        <f>J338*10%</f>
        <v>17878.226666666633</v>
      </c>
      <c r="N338" s="658">
        <f>J338-M338</f>
        <v>160904.03999999969</v>
      </c>
      <c r="O338" s="658">
        <f>$N338*$W$337</f>
        <v>160260.42383999968</v>
      </c>
      <c r="P338" s="658">
        <f>O338-T338-U338</f>
        <v>49444.969294545153</v>
      </c>
      <c r="Q338" s="658">
        <f>N338-O338</f>
        <v>643.61616000000504</v>
      </c>
      <c r="R338" s="658"/>
      <c r="S338" s="658">
        <v>121897</v>
      </c>
      <c r="T338" s="621">
        <f>S338*0.6</f>
        <v>73138.2</v>
      </c>
      <c r="U338" s="665">
        <f>243794/2.2-T338</f>
        <v>37677.254545454532</v>
      </c>
      <c r="V338" s="658">
        <f>S338-T338-U338</f>
        <v>11081.54545454547</v>
      </c>
      <c r="W338" s="658"/>
      <c r="X338" s="607">
        <f t="shared" si="172"/>
        <v>0.37592161533892354</v>
      </c>
      <c r="Y338" s="608">
        <f>S338*12</f>
        <v>1462764</v>
      </c>
      <c r="AA338" s="609">
        <f>D338*'Don gia XCSDL DC'!$K$8</f>
        <v>5996.3809719789997</v>
      </c>
      <c r="AB338" s="609">
        <f>D338*'Don gia XCSDL DC'!$K$9</f>
        <v>5721.2785469790006</v>
      </c>
      <c r="AC338" s="609" t="e">
        <f>D338*'Don gia XCSDL DC'!#REF!</f>
        <v>#REF!</v>
      </c>
      <c r="AD338" s="609">
        <f>D338*'Don gia XCSDL DC'!$K$10</f>
        <v>23038.024799870902</v>
      </c>
      <c r="AE338" s="609">
        <f>J338*'Don gia XCSDL DC'!$K$11</f>
        <v>0</v>
      </c>
      <c r="AF338" s="609" t="e">
        <f>S338*'Don gia XCSDL DC'!#REF!</f>
        <v>#REF!</v>
      </c>
      <c r="AG338" s="609" t="e">
        <f>D338*'Don gia XCSDL DC'!#REF!</f>
        <v>#REF!</v>
      </c>
      <c r="AH338" s="609" t="e">
        <f>J338*'Don gia XCSDL DC'!#REF!</f>
        <v>#REF!</v>
      </c>
      <c r="AI338" s="609" t="e">
        <f>D338*'Don gia XCSDL DC'!#REF!</f>
        <v>#REF!</v>
      </c>
      <c r="AJ338" s="609">
        <f>S338*2*'Don gia XCSDL DC'!$K$24</f>
        <v>2084582035.3588362</v>
      </c>
      <c r="AK338" s="609" t="e">
        <f>S338*3*'Don gia XCSDL DC'!#REF!</f>
        <v>#REF!</v>
      </c>
      <c r="AL338" s="609" t="e">
        <f>(S338*2+S338*3)*('Don gia XCSDL DC'!#REF!+'Don gia XCSDL DC'!#REF!+'Don gia XCSDL DC'!#REF!)</f>
        <v>#REF!</v>
      </c>
      <c r="AM338" s="609" t="e">
        <f>O338*'Don gia XCSDL DC'!#REF!*50%</f>
        <v>#REF!</v>
      </c>
      <c r="AN338" s="609" t="e">
        <f>T338*'Don gia XCSDL DC'!#REF!*$AN$8</f>
        <v>#REF!</v>
      </c>
      <c r="AO338" s="609" t="e">
        <f>U338*'Don gia XCSDL DC'!#REF!*1</f>
        <v>#REF!</v>
      </c>
      <c r="AP338" s="609" t="e">
        <f>P338*X338*'Don gia XCSDL DC'!#REF!</f>
        <v>#REF!</v>
      </c>
      <c r="AQ338" s="609" t="e">
        <f>Q338*$AQ$8*'Don gia XCSDL DC'!#REF!</f>
        <v>#REF!</v>
      </c>
      <c r="AR338" s="609" t="e">
        <f>M338*$AR$8*'Don gia XCSDL DC'!#REF!</f>
        <v>#REF!</v>
      </c>
      <c r="AS338" s="609" t="e">
        <f>J338*'Don gia XCSDL DC'!#REF!</f>
        <v>#REF!</v>
      </c>
      <c r="AT338" s="609">
        <f>D338*'Don gia XCSDL DC'!$K$26</f>
        <v>0</v>
      </c>
      <c r="AU338" s="609">
        <f>J338*'Don gia XCSDL DC'!$K$34</f>
        <v>0</v>
      </c>
      <c r="AV338" s="609">
        <f>O338*'Don gia XCSDL DC'!$K$37</f>
        <v>0</v>
      </c>
      <c r="AW338" s="610" t="e">
        <f t="shared" ref="AW338:AW341" si="174">SUM(AA338:AV338)</f>
        <v>#REF!</v>
      </c>
      <c r="AX338" s="611" t="e">
        <f t="shared" ref="AX338:AX341" si="175">AC338+AD338+AV338+AZ338+BA338</f>
        <v>#REF!</v>
      </c>
      <c r="AY338" s="806" t="e">
        <f t="shared" si="173"/>
        <v>#REF!</v>
      </c>
      <c r="AZ338" s="612" t="e">
        <f>D338*'Don gia XCSDL DC'!#REF!</f>
        <v>#REF!</v>
      </c>
      <c r="BA338" s="613" t="e">
        <f>(Q338+M338)*'Don gia XCSDL DC'!#REF!</f>
        <v>#REF!</v>
      </c>
    </row>
    <row r="339" spans="1:53" ht="24.75" customHeight="1">
      <c r="A339" s="599"/>
      <c r="B339" s="445">
        <v>2</v>
      </c>
      <c r="C339" s="445" t="s">
        <v>591</v>
      </c>
      <c r="D339" s="600">
        <v>8</v>
      </c>
      <c r="E339" s="561">
        <v>8</v>
      </c>
      <c r="F339" s="561">
        <v>1</v>
      </c>
      <c r="G339" s="602">
        <v>1</v>
      </c>
      <c r="H339" s="561"/>
      <c r="I339" s="561"/>
      <c r="J339" s="658">
        <f>75710*1.2</f>
        <v>90852</v>
      </c>
      <c r="K339" s="658">
        <v>24153</v>
      </c>
      <c r="L339" s="658">
        <f>113565/3*2</f>
        <v>75710</v>
      </c>
      <c r="M339" s="595">
        <f>J339*10%</f>
        <v>9085.2000000000007</v>
      </c>
      <c r="N339" s="658">
        <f>J339-M339</f>
        <v>81766.8</v>
      </c>
      <c r="O339" s="658">
        <f>$N339*$W$337</f>
        <v>81439.732799999998</v>
      </c>
      <c r="P339" s="658">
        <f>O339-T339-U339</f>
        <v>29819.278254545454</v>
      </c>
      <c r="Q339" s="658">
        <f>N339-O339</f>
        <v>327.06720000000496</v>
      </c>
      <c r="R339" s="658"/>
      <c r="S339" s="658">
        <v>56782.5</v>
      </c>
      <c r="T339" s="621">
        <f>S339*0.6</f>
        <v>34069.5</v>
      </c>
      <c r="U339" s="665">
        <f>113565/2.2-T339</f>
        <v>17550.954545454544</v>
      </c>
      <c r="V339" s="658">
        <f>S339-T339-U339</f>
        <v>5162.0454545454559</v>
      </c>
      <c r="W339" s="658"/>
      <c r="X339" s="607">
        <f t="shared" si="172"/>
        <v>0.33489364059384008</v>
      </c>
      <c r="Y339" s="608">
        <f>S339*12</f>
        <v>681390</v>
      </c>
      <c r="AA339" s="609">
        <f>D339*'Don gia XCSDL DC'!$K$8</f>
        <v>3690.080598140923</v>
      </c>
      <c r="AB339" s="609">
        <f>D339*'Don gia XCSDL DC'!$K$9</f>
        <v>3520.7867981409236</v>
      </c>
      <c r="AC339" s="609" t="e">
        <f>D339*'Don gia XCSDL DC'!#REF!</f>
        <v>#REF!</v>
      </c>
      <c r="AD339" s="609">
        <f>D339*'Don gia XCSDL DC'!$K$10</f>
        <v>14177.246030689786</v>
      </c>
      <c r="AE339" s="609">
        <f>J339*'Don gia XCSDL DC'!$K$11</f>
        <v>0</v>
      </c>
      <c r="AF339" s="609" t="e">
        <f>S339*'Don gia XCSDL DC'!#REF!</f>
        <v>#REF!</v>
      </c>
      <c r="AG339" s="609" t="e">
        <f>D339*'Don gia XCSDL DC'!#REF!</f>
        <v>#REF!</v>
      </c>
      <c r="AH339" s="609" t="e">
        <f>J339*'Don gia XCSDL DC'!#REF!</f>
        <v>#REF!</v>
      </c>
      <c r="AI339" s="609" t="e">
        <f>D339*'Don gia XCSDL DC'!#REF!</f>
        <v>#REF!</v>
      </c>
      <c r="AJ339" s="609">
        <f>S339*2*'Don gia XCSDL DC'!$K$24</f>
        <v>971047518.99360216</v>
      </c>
      <c r="AK339" s="609" t="e">
        <f>S339*3*'Don gia XCSDL DC'!#REF!</f>
        <v>#REF!</v>
      </c>
      <c r="AL339" s="609" t="e">
        <f>(S339*2+S339*3)*('Don gia XCSDL DC'!#REF!+'Don gia XCSDL DC'!#REF!+'Don gia XCSDL DC'!#REF!)</f>
        <v>#REF!</v>
      </c>
      <c r="AM339" s="609" t="e">
        <f>O339*'Don gia XCSDL DC'!#REF!*50%</f>
        <v>#REF!</v>
      </c>
      <c r="AN339" s="609" t="e">
        <f>T339*'Don gia XCSDL DC'!#REF!*$AN$8</f>
        <v>#REF!</v>
      </c>
      <c r="AO339" s="609" t="e">
        <f>U339*'Don gia XCSDL DC'!#REF!*1</f>
        <v>#REF!</v>
      </c>
      <c r="AP339" s="609" t="e">
        <f>P339*X339*'Don gia XCSDL DC'!#REF!</f>
        <v>#REF!</v>
      </c>
      <c r="AQ339" s="609" t="e">
        <f>Q339*$AQ$8*'Don gia XCSDL DC'!#REF!</f>
        <v>#REF!</v>
      </c>
      <c r="AR339" s="609" t="e">
        <f>M339*$AR$8*'Don gia XCSDL DC'!#REF!</f>
        <v>#REF!</v>
      </c>
      <c r="AS339" s="609" t="e">
        <f>J339*'Don gia XCSDL DC'!#REF!</f>
        <v>#REF!</v>
      </c>
      <c r="AT339" s="609">
        <f>D339*'Don gia XCSDL DC'!$K$26</f>
        <v>0</v>
      </c>
      <c r="AU339" s="609">
        <f>J339*'Don gia XCSDL DC'!$K$34</f>
        <v>0</v>
      </c>
      <c r="AV339" s="609">
        <f>O339*'Don gia XCSDL DC'!$K$37</f>
        <v>0</v>
      </c>
      <c r="AW339" s="610" t="e">
        <f t="shared" si="174"/>
        <v>#REF!</v>
      </c>
      <c r="AX339" s="611" t="e">
        <f t="shared" si="175"/>
        <v>#REF!</v>
      </c>
      <c r="AY339" s="806" t="e">
        <f t="shared" si="173"/>
        <v>#REF!</v>
      </c>
      <c r="AZ339" s="612" t="e">
        <f>D339*'Don gia XCSDL DC'!#REF!</f>
        <v>#REF!</v>
      </c>
      <c r="BA339" s="613" t="e">
        <f>(Q339+M339)*'Don gia XCSDL DC'!#REF!</f>
        <v>#REF!</v>
      </c>
    </row>
    <row r="340" spans="1:53" ht="24.75" customHeight="1">
      <c r="A340" s="599"/>
      <c r="B340" s="445">
        <v>3</v>
      </c>
      <c r="C340" s="445" t="s">
        <v>449</v>
      </c>
      <c r="D340" s="600">
        <v>7</v>
      </c>
      <c r="E340" s="561">
        <v>7</v>
      </c>
      <c r="F340" s="561">
        <v>1</v>
      </c>
      <c r="G340" s="602">
        <v>1</v>
      </c>
      <c r="H340" s="561"/>
      <c r="I340" s="561"/>
      <c r="J340" s="658">
        <f>130758.75*1.1</f>
        <v>143834.625</v>
      </c>
      <c r="K340" s="658">
        <v>62722</v>
      </c>
      <c r="L340" s="658">
        <f>88607/4*5+20000</f>
        <v>130758.75</v>
      </c>
      <c r="M340" s="595">
        <f>J340*10%</f>
        <v>14383.462500000001</v>
      </c>
      <c r="N340" s="658">
        <f>J340-M340</f>
        <v>129451.16250000001</v>
      </c>
      <c r="O340" s="658">
        <f>$N340*$W$337</f>
        <v>128933.35785</v>
      </c>
      <c r="P340" s="658">
        <f>O340-T340-U340</f>
        <v>93459.07213571429</v>
      </c>
      <c r="Q340" s="658">
        <f>N340-O340</f>
        <v>517.80465000000549</v>
      </c>
      <c r="R340" s="658"/>
      <c r="S340" s="658">
        <v>49664</v>
      </c>
      <c r="T340" s="621">
        <f>S340*0.2</f>
        <v>9932.8000000000011</v>
      </c>
      <c r="U340" s="665">
        <f>99328/2.8-T340</f>
        <v>25541.485714285714</v>
      </c>
      <c r="V340" s="658">
        <f>S340-T340-U340</f>
        <v>14189.714285714283</v>
      </c>
      <c r="W340" s="658"/>
      <c r="X340" s="607">
        <f t="shared" si="172"/>
        <v>0.31777478413899918</v>
      </c>
      <c r="Y340" s="608">
        <f>S340*12</f>
        <v>595968</v>
      </c>
      <c r="AA340" s="609">
        <f>D340*'Don gia XCSDL DC'!$K$8</f>
        <v>3228.8205233733079</v>
      </c>
      <c r="AB340" s="609">
        <f>D340*'Don gia XCSDL DC'!$K$9</f>
        <v>3080.6884483733083</v>
      </c>
      <c r="AC340" s="609" t="e">
        <f>D340*'Don gia XCSDL DC'!#REF!</f>
        <v>#REF!</v>
      </c>
      <c r="AD340" s="609">
        <f>D340*'Don gia XCSDL DC'!$K$10</f>
        <v>12405.090276853563</v>
      </c>
      <c r="AE340" s="609">
        <f>J340*'Don gia XCSDL DC'!$K$11</f>
        <v>0</v>
      </c>
      <c r="AF340" s="609" t="e">
        <f>S340*'Don gia XCSDL DC'!#REF!</f>
        <v>#REF!</v>
      </c>
      <c r="AG340" s="609" t="e">
        <f>D340*'Don gia XCSDL DC'!#REF!</f>
        <v>#REF!</v>
      </c>
      <c r="AH340" s="609" t="e">
        <f>J340*'Don gia XCSDL DC'!#REF!</f>
        <v>#REF!</v>
      </c>
      <c r="AI340" s="609" t="e">
        <f>D340*'Don gia XCSDL DC'!#REF!</f>
        <v>#REF!</v>
      </c>
      <c r="AJ340" s="609">
        <f>S340*2*'Don gia XCSDL DC'!$K$24</f>
        <v>849312798.54353464</v>
      </c>
      <c r="AK340" s="609" t="e">
        <f>S340*3*'Don gia XCSDL DC'!#REF!</f>
        <v>#REF!</v>
      </c>
      <c r="AL340" s="609" t="e">
        <f>(S340*2+S340*3)*('Don gia XCSDL DC'!#REF!+'Don gia XCSDL DC'!#REF!+'Don gia XCSDL DC'!#REF!)</f>
        <v>#REF!</v>
      </c>
      <c r="AM340" s="609" t="e">
        <f>O340*'Don gia XCSDL DC'!#REF!*50%</f>
        <v>#REF!</v>
      </c>
      <c r="AN340" s="609" t="e">
        <f>T340*'Don gia XCSDL DC'!#REF!*$AN$8</f>
        <v>#REF!</v>
      </c>
      <c r="AO340" s="609" t="e">
        <f>U340*'Don gia XCSDL DC'!#REF!*1</f>
        <v>#REF!</v>
      </c>
      <c r="AP340" s="609" t="e">
        <f>P340*X340*'Don gia XCSDL DC'!#REF!</f>
        <v>#REF!</v>
      </c>
      <c r="AQ340" s="609" t="e">
        <f>Q340*$AQ$8*'Don gia XCSDL DC'!#REF!</f>
        <v>#REF!</v>
      </c>
      <c r="AR340" s="609" t="e">
        <f>M340*$AR$8*'Don gia XCSDL DC'!#REF!</f>
        <v>#REF!</v>
      </c>
      <c r="AS340" s="609" t="e">
        <f>J340*'Don gia XCSDL DC'!#REF!</f>
        <v>#REF!</v>
      </c>
      <c r="AT340" s="609">
        <f>D340*'Don gia XCSDL DC'!$K$26</f>
        <v>0</v>
      </c>
      <c r="AU340" s="609">
        <f>J340*'Don gia XCSDL DC'!$K$34</f>
        <v>0</v>
      </c>
      <c r="AV340" s="609">
        <f>O340*'Don gia XCSDL DC'!$K$37</f>
        <v>0</v>
      </c>
      <c r="AW340" s="610" t="e">
        <f t="shared" si="174"/>
        <v>#REF!</v>
      </c>
      <c r="AX340" s="611" t="e">
        <f t="shared" si="175"/>
        <v>#REF!</v>
      </c>
      <c r="AY340" s="806" t="e">
        <f t="shared" si="173"/>
        <v>#REF!</v>
      </c>
      <c r="AZ340" s="612" t="e">
        <f>D340*'Don gia XCSDL DC'!#REF!</f>
        <v>#REF!</v>
      </c>
      <c r="BA340" s="613" t="e">
        <f>(Q340+M340)*'Don gia XCSDL DC'!#REF!</f>
        <v>#REF!</v>
      </c>
    </row>
    <row r="341" spans="1:53" ht="24.75" customHeight="1">
      <c r="A341" s="599"/>
      <c r="B341" s="445">
        <v>4</v>
      </c>
      <c r="C341" s="445" t="s">
        <v>592</v>
      </c>
      <c r="D341" s="600">
        <v>7</v>
      </c>
      <c r="E341" s="561">
        <v>7</v>
      </c>
      <c r="F341" s="561">
        <v>1</v>
      </c>
      <c r="G341" s="602">
        <v>1</v>
      </c>
      <c r="H341" s="561"/>
      <c r="I341" s="561"/>
      <c r="J341" s="658">
        <f>57518.6666666667*1.2</f>
        <v>69022.400000000038</v>
      </c>
      <c r="K341" s="658">
        <v>36440</v>
      </c>
      <c r="L341" s="658">
        <f>86278/3*2</f>
        <v>57518.666666666664</v>
      </c>
      <c r="M341" s="595">
        <f>J341*10%</f>
        <v>6902.2400000000043</v>
      </c>
      <c r="N341" s="658">
        <f>J341-M341</f>
        <v>62120.160000000033</v>
      </c>
      <c r="O341" s="658">
        <f>$N341*$W$337</f>
        <v>61871.679360000031</v>
      </c>
      <c r="P341" s="658">
        <f>O341-T341-U341</f>
        <v>20786.917455238126</v>
      </c>
      <c r="Q341" s="658">
        <f>N341-O341</f>
        <v>248.48064000000159</v>
      </c>
      <c r="R341" s="658"/>
      <c r="S341" s="658">
        <v>43139</v>
      </c>
      <c r="T341" s="621">
        <f>S341*0.6</f>
        <v>25883.399999999998</v>
      </c>
      <c r="U341" s="665">
        <f>86278/2.1-T341</f>
        <v>15201.361904761903</v>
      </c>
      <c r="V341" s="658">
        <f>S341-T341-U341</f>
        <v>2054.238095238099</v>
      </c>
      <c r="W341" s="658"/>
      <c r="X341" s="607">
        <f t="shared" si="172"/>
        <v>0.27514072481183988</v>
      </c>
      <c r="Y341" s="608">
        <f>S341*12</f>
        <v>517668</v>
      </c>
      <c r="AA341" s="609">
        <f>D341*'Don gia XCSDL DC'!$K$8</f>
        <v>3228.8205233733079</v>
      </c>
      <c r="AB341" s="609">
        <f>D341*'Don gia XCSDL DC'!$K$9</f>
        <v>3080.6884483733083</v>
      </c>
      <c r="AC341" s="609" t="e">
        <f>D341*'Don gia XCSDL DC'!#REF!</f>
        <v>#REF!</v>
      </c>
      <c r="AD341" s="609">
        <f>D341*'Don gia XCSDL DC'!$K$10</f>
        <v>12405.090276853563</v>
      </c>
      <c r="AE341" s="609">
        <f>J341*'Don gia XCSDL DC'!$K$11</f>
        <v>0</v>
      </c>
      <c r="AF341" s="609" t="e">
        <f>S341*'Don gia XCSDL DC'!#REF!</f>
        <v>#REF!</v>
      </c>
      <c r="AG341" s="609" t="e">
        <f>D341*'Don gia XCSDL DC'!#REF!</f>
        <v>#REF!</v>
      </c>
      <c r="AH341" s="609" t="e">
        <f>J341*'Don gia XCSDL DC'!#REF!</f>
        <v>#REF!</v>
      </c>
      <c r="AI341" s="609" t="e">
        <f>D341*'Don gia XCSDL DC'!#REF!</f>
        <v>#REF!</v>
      </c>
      <c r="AJ341" s="609">
        <f>S341*2*'Don gia XCSDL DC'!$K$24</f>
        <v>737727625.97393572</v>
      </c>
      <c r="AK341" s="609" t="e">
        <f>S341*3*'Don gia XCSDL DC'!#REF!</f>
        <v>#REF!</v>
      </c>
      <c r="AL341" s="609" t="e">
        <f>(S341*2+S341*3)*('Don gia XCSDL DC'!#REF!+'Don gia XCSDL DC'!#REF!+'Don gia XCSDL DC'!#REF!)</f>
        <v>#REF!</v>
      </c>
      <c r="AM341" s="609" t="e">
        <f>O341*'Don gia XCSDL DC'!#REF!*50%</f>
        <v>#REF!</v>
      </c>
      <c r="AN341" s="609" t="e">
        <f>T341*'Don gia XCSDL DC'!#REF!*$AN$8</f>
        <v>#REF!</v>
      </c>
      <c r="AO341" s="609" t="e">
        <f>U341*'Don gia XCSDL DC'!#REF!*1</f>
        <v>#REF!</v>
      </c>
      <c r="AP341" s="609" t="e">
        <f>P341*X341*'Don gia XCSDL DC'!#REF!</f>
        <v>#REF!</v>
      </c>
      <c r="AQ341" s="609" t="e">
        <f>Q341*$AQ$8*'Don gia XCSDL DC'!#REF!</f>
        <v>#REF!</v>
      </c>
      <c r="AR341" s="609" t="e">
        <f>M341*$AR$8*'Don gia XCSDL DC'!#REF!</f>
        <v>#REF!</v>
      </c>
      <c r="AS341" s="609" t="e">
        <f>J341*'Don gia XCSDL DC'!#REF!</f>
        <v>#REF!</v>
      </c>
      <c r="AT341" s="609">
        <f>D341*'Don gia XCSDL DC'!$K$26</f>
        <v>0</v>
      </c>
      <c r="AU341" s="609">
        <f>J341*'Don gia XCSDL DC'!$K$34</f>
        <v>0</v>
      </c>
      <c r="AV341" s="609">
        <f>O341*'Don gia XCSDL DC'!$K$37</f>
        <v>0</v>
      </c>
      <c r="AW341" s="610" t="e">
        <f t="shared" si="174"/>
        <v>#REF!</v>
      </c>
      <c r="AX341" s="611" t="e">
        <f t="shared" si="175"/>
        <v>#REF!</v>
      </c>
      <c r="AY341" s="806" t="e">
        <f t="shared" si="173"/>
        <v>#REF!</v>
      </c>
      <c r="AZ341" s="612" t="e">
        <f>D341*'Don gia XCSDL DC'!#REF!</f>
        <v>#REF!</v>
      </c>
      <c r="BA341" s="613" t="e">
        <f>(Q341+M341)*'Don gia XCSDL DC'!#REF!</f>
        <v>#REF!</v>
      </c>
    </row>
    <row r="342" spans="1:53" s="723" customFormat="1" ht="22.5" customHeight="1" thickBot="1">
      <c r="A342" s="735"/>
      <c r="B342" s="716"/>
      <c r="C342" s="716" t="s">
        <v>593</v>
      </c>
      <c r="D342" s="793">
        <v>7</v>
      </c>
      <c r="E342" s="793">
        <v>7</v>
      </c>
      <c r="F342" s="793"/>
      <c r="G342" s="794">
        <v>1</v>
      </c>
      <c r="H342" s="793"/>
      <c r="I342" s="793"/>
      <c r="J342" s="778">
        <f>58130*1.2</f>
        <v>69756</v>
      </c>
      <c r="K342" s="716"/>
      <c r="L342" s="734">
        <v>58130</v>
      </c>
      <c r="M342" s="777"/>
      <c r="N342" s="778"/>
      <c r="O342" s="778"/>
      <c r="P342" s="778"/>
      <c r="Q342" s="778"/>
      <c r="R342" s="778"/>
      <c r="S342" s="716"/>
      <c r="T342" s="716"/>
      <c r="U342" s="716"/>
      <c r="V342" s="778"/>
      <c r="W342" s="778"/>
      <c r="X342" s="721"/>
      <c r="Y342" s="795"/>
      <c r="AA342" s="724"/>
      <c r="AB342" s="724"/>
      <c r="AC342" s="724"/>
      <c r="AD342" s="724"/>
      <c r="AE342" s="724"/>
      <c r="AF342" s="724"/>
      <c r="AG342" s="724"/>
      <c r="AH342" s="724"/>
      <c r="AI342" s="724"/>
      <c r="AJ342" s="724"/>
      <c r="AK342" s="724"/>
      <c r="AL342" s="724"/>
      <c r="AM342" s="724"/>
      <c r="AN342" s="724"/>
      <c r="AO342" s="724"/>
      <c r="AP342" s="724"/>
      <c r="AQ342" s="724"/>
      <c r="AR342" s="724"/>
      <c r="AS342" s="724"/>
      <c r="AT342" s="724"/>
      <c r="AU342" s="724"/>
      <c r="AV342" s="724"/>
      <c r="AW342" s="725"/>
      <c r="AX342" s="726"/>
      <c r="AY342" s="726"/>
      <c r="AZ342" s="727"/>
      <c r="BA342" s="728"/>
    </row>
    <row r="343" spans="1:53" s="723" customFormat="1" ht="23.25" customHeight="1" thickBot="1">
      <c r="A343" s="796"/>
      <c r="B343" s="797"/>
      <c r="C343" s="797" t="s">
        <v>594</v>
      </c>
      <c r="D343" s="794">
        <v>11</v>
      </c>
      <c r="E343" s="794">
        <v>11</v>
      </c>
      <c r="F343" s="794"/>
      <c r="G343" s="794">
        <v>1</v>
      </c>
      <c r="H343" s="794"/>
      <c r="I343" s="794"/>
      <c r="J343" s="798">
        <f>72865*1.2</f>
        <v>87438</v>
      </c>
      <c r="K343" s="797"/>
      <c r="L343" s="799">
        <v>72865</v>
      </c>
      <c r="M343" s="777"/>
      <c r="N343" s="778"/>
      <c r="O343" s="778"/>
      <c r="P343" s="778"/>
      <c r="Q343" s="778"/>
      <c r="R343" s="778"/>
      <c r="S343" s="716"/>
      <c r="T343" s="716"/>
      <c r="U343" s="716"/>
      <c r="V343" s="778"/>
      <c r="W343" s="798"/>
      <c r="X343" s="721"/>
      <c r="Y343" s="795"/>
      <c r="AA343" s="724"/>
      <c r="AB343" s="724"/>
      <c r="AC343" s="724"/>
      <c r="AD343" s="724"/>
      <c r="AE343" s="724"/>
      <c r="AF343" s="724"/>
      <c r="AG343" s="724"/>
      <c r="AH343" s="724"/>
      <c r="AI343" s="724"/>
      <c r="AJ343" s="724"/>
      <c r="AK343" s="724"/>
      <c r="AL343" s="724"/>
      <c r="AM343" s="724"/>
      <c r="AN343" s="724"/>
      <c r="AO343" s="724"/>
      <c r="AP343" s="724"/>
      <c r="AQ343" s="724"/>
      <c r="AR343" s="724"/>
      <c r="AS343" s="724"/>
      <c r="AT343" s="724"/>
      <c r="AU343" s="724"/>
      <c r="AV343" s="724"/>
      <c r="AW343" s="725"/>
      <c r="AX343" s="726"/>
      <c r="AY343" s="726"/>
      <c r="AZ343" s="727"/>
      <c r="BA343" s="728"/>
    </row>
    <row r="344" spans="1:53" ht="23.25" customHeight="1">
      <c r="A344" s="800"/>
      <c r="B344" s="800"/>
      <c r="C344" s="800"/>
      <c r="D344" s="801"/>
      <c r="E344" s="801"/>
      <c r="F344" s="801"/>
      <c r="G344" s="446"/>
      <c r="H344" s="801"/>
      <c r="I344" s="801"/>
      <c r="J344" s="802"/>
      <c r="K344" s="800"/>
      <c r="L344" s="803"/>
      <c r="M344" s="804"/>
      <c r="N344" s="802"/>
      <c r="O344" s="802"/>
      <c r="P344" s="802"/>
      <c r="Q344" s="802"/>
      <c r="R344" s="802"/>
      <c r="S344" s="800"/>
      <c r="T344" s="800"/>
      <c r="U344" s="800"/>
      <c r="V344" s="802"/>
      <c r="W344" s="802"/>
      <c r="X344" s="802"/>
      <c r="Y344" s="805"/>
    </row>
    <row r="345" spans="1:53" ht="23.25" customHeight="1">
      <c r="A345" s="800"/>
      <c r="B345" s="800"/>
      <c r="C345" s="800"/>
      <c r="D345" s="801"/>
      <c r="E345" s="801"/>
      <c r="F345" s="801"/>
      <c r="G345" s="446"/>
      <c r="H345" s="801"/>
      <c r="I345" s="801"/>
      <c r="J345" s="802"/>
      <c r="K345" s="800"/>
      <c r="L345" s="803"/>
      <c r="M345" s="804"/>
      <c r="N345" s="802"/>
      <c r="O345" s="802"/>
      <c r="P345" s="802"/>
      <c r="Q345" s="802"/>
      <c r="R345" s="802"/>
      <c r="S345" s="800"/>
      <c r="T345" s="800"/>
      <c r="U345" s="800"/>
      <c r="V345" s="802"/>
      <c r="W345" s="802"/>
      <c r="X345" s="802"/>
      <c r="Y345" s="805"/>
    </row>
    <row r="346" spans="1:53" ht="23.25" customHeight="1" thickBot="1">
      <c r="A346" s="800"/>
      <c r="B346" s="800"/>
      <c r="C346" s="800"/>
      <c r="D346" s="801"/>
      <c r="E346" s="801"/>
      <c r="F346" s="801"/>
      <c r="G346" s="447"/>
      <c r="H346" s="801"/>
      <c r="I346" s="801"/>
      <c r="J346" s="802"/>
      <c r="K346" s="800"/>
      <c r="L346" s="803"/>
      <c r="M346" s="804"/>
      <c r="N346" s="802"/>
      <c r="O346" s="802"/>
      <c r="P346" s="802"/>
      <c r="Q346" s="802"/>
      <c r="R346" s="802"/>
      <c r="S346" s="800"/>
      <c r="T346" s="800"/>
      <c r="U346" s="800"/>
      <c r="V346" s="802"/>
      <c r="W346" s="802"/>
      <c r="X346" s="802"/>
      <c r="Y346" s="805"/>
    </row>
    <row r="347" spans="1:53" ht="32.25" customHeight="1">
      <c r="P347" s="613"/>
      <c r="S347" s="613"/>
    </row>
    <row r="348" spans="1:53">
      <c r="S348" s="613"/>
    </row>
  </sheetData>
  <mergeCells count="67">
    <mergeCell ref="S4:S5"/>
    <mergeCell ref="A1:Y1"/>
    <mergeCell ref="B2:Y2"/>
    <mergeCell ref="A3:A6"/>
    <mergeCell ref="B3:H4"/>
    <mergeCell ref="I3:I5"/>
    <mergeCell ref="J3:J5"/>
    <mergeCell ref="K3:Q3"/>
    <mergeCell ref="R3:R5"/>
    <mergeCell ref="S3:W3"/>
    <mergeCell ref="B5:B6"/>
    <mergeCell ref="K4:K5"/>
    <mergeCell ref="L4:L5"/>
    <mergeCell ref="T4:T5"/>
    <mergeCell ref="U4:V4"/>
    <mergeCell ref="W4:W5"/>
    <mergeCell ref="B119:C119"/>
    <mergeCell ref="B10:C10"/>
    <mergeCell ref="AZ4:BA4"/>
    <mergeCell ref="AW3:AW5"/>
    <mergeCell ref="AX3:AX5"/>
    <mergeCell ref="AN3:AR3"/>
    <mergeCell ref="Y4:Y5"/>
    <mergeCell ref="AN4:AR4"/>
    <mergeCell ref="AA4:AC4"/>
    <mergeCell ref="AN5:AR5"/>
    <mergeCell ref="E5:E6"/>
    <mergeCell ref="F5:F6"/>
    <mergeCell ref="G5:G6"/>
    <mergeCell ref="B7:C7"/>
    <mergeCell ref="B8:C8"/>
    <mergeCell ref="M4:Q4"/>
    <mergeCell ref="C5:C6"/>
    <mergeCell ref="A9:C9"/>
    <mergeCell ref="H5:H6"/>
    <mergeCell ref="B108:C108"/>
    <mergeCell ref="B25:C25"/>
    <mergeCell ref="B33:C33"/>
    <mergeCell ref="B43:C43"/>
    <mergeCell ref="B53:C53"/>
    <mergeCell ref="B63:C63"/>
    <mergeCell ref="B72:C72"/>
    <mergeCell ref="B83:C83"/>
    <mergeCell ref="B92:C92"/>
    <mergeCell ref="B101:C101"/>
    <mergeCell ref="B19:C19"/>
    <mergeCell ref="B199:C199"/>
    <mergeCell ref="B214:C214"/>
    <mergeCell ref="B224:C224"/>
    <mergeCell ref="B234:C234"/>
    <mergeCell ref="B243:C243"/>
    <mergeCell ref="B128:C128"/>
    <mergeCell ref="B330:C330"/>
    <mergeCell ref="B337:C337"/>
    <mergeCell ref="B261:C261"/>
    <mergeCell ref="B277:C277"/>
    <mergeCell ref="B289:C289"/>
    <mergeCell ref="B298:C298"/>
    <mergeCell ref="B308:C308"/>
    <mergeCell ref="B318:C318"/>
    <mergeCell ref="B251:C251"/>
    <mergeCell ref="A140:C140"/>
    <mergeCell ref="B141:C141"/>
    <mergeCell ref="B155:C155"/>
    <mergeCell ref="B169:C169"/>
    <mergeCell ref="B178:C178"/>
    <mergeCell ref="B189:C189"/>
  </mergeCells>
  <pageMargins left="0.28999999999999998" right="0.28999999999999998" top="0.38" bottom="0.44" header="0.23" footer="0.2"/>
  <pageSetup paperSize="8" orientation="landscape" r:id="rId1"/>
  <headerFooter alignWithMargins="0">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4"/>
  <sheetViews>
    <sheetView topLeftCell="A5" workbookViewId="0">
      <pane xSplit="2" ySplit="6" topLeftCell="C11" activePane="bottomRight" state="frozen"/>
      <selection activeCell="F7" sqref="F7:F8"/>
      <selection pane="topRight" activeCell="F7" sqref="F7:F8"/>
      <selection pane="bottomLeft" activeCell="F7" sqref="F7:F8"/>
      <selection pane="bottomRight" activeCell="F6" sqref="F6:F9"/>
    </sheetView>
  </sheetViews>
  <sheetFormatPr defaultColWidth="7.125" defaultRowHeight="12.75"/>
  <cols>
    <col min="1" max="1" width="5.375" style="995" customWidth="1"/>
    <col min="2" max="2" width="19.75" style="995" customWidth="1"/>
    <col min="3" max="3" width="8.625" style="995" customWidth="1"/>
    <col min="4" max="6" width="13.625" style="995" customWidth="1"/>
    <col min="7" max="7" width="12.25" style="995" customWidth="1"/>
    <col min="8" max="8" width="11.25" style="995" customWidth="1"/>
    <col min="9" max="11" width="9.375" style="1029" customWidth="1"/>
    <col min="12" max="16" width="9.375" style="1000" customWidth="1"/>
    <col min="17" max="22" width="8.375" style="1000" customWidth="1"/>
    <col min="23" max="23" width="9.375" style="1000" customWidth="1"/>
    <col min="24" max="24" width="11.125" style="995" customWidth="1"/>
    <col min="25" max="25" width="12.75" style="995" customWidth="1"/>
    <col min="26" max="26" width="13.125" style="995" customWidth="1"/>
    <col min="27" max="256" width="7.125" style="995"/>
    <col min="257" max="257" width="5.375" style="995" customWidth="1"/>
    <col min="258" max="262" width="13.625" style="995" customWidth="1"/>
    <col min="263" max="264" width="12.25" style="995" customWidth="1"/>
    <col min="265" max="272" width="9.375" style="995" customWidth="1"/>
    <col min="273" max="278" width="8.375" style="995" customWidth="1"/>
    <col min="279" max="279" width="9.375" style="995" customWidth="1"/>
    <col min="280" max="280" width="11.125" style="995" customWidth="1"/>
    <col min="281" max="281" width="12.75" style="995" customWidth="1"/>
    <col min="282" max="282" width="13.125" style="995" customWidth="1"/>
    <col min="283" max="512" width="7.125" style="995"/>
    <col min="513" max="513" width="5.375" style="995" customWidth="1"/>
    <col min="514" max="518" width="13.625" style="995" customWidth="1"/>
    <col min="519" max="520" width="12.25" style="995" customWidth="1"/>
    <col min="521" max="528" width="9.375" style="995" customWidth="1"/>
    <col min="529" max="534" width="8.375" style="995" customWidth="1"/>
    <col min="535" max="535" width="9.375" style="995" customWidth="1"/>
    <col min="536" max="536" width="11.125" style="995" customWidth="1"/>
    <col min="537" max="537" width="12.75" style="995" customWidth="1"/>
    <col min="538" max="538" width="13.125" style="995" customWidth="1"/>
    <col min="539" max="768" width="7.125" style="995"/>
    <col min="769" max="769" width="5.375" style="995" customWidth="1"/>
    <col min="770" max="774" width="13.625" style="995" customWidth="1"/>
    <col min="775" max="776" width="12.25" style="995" customWidth="1"/>
    <col min="777" max="784" width="9.375" style="995" customWidth="1"/>
    <col min="785" max="790" width="8.375" style="995" customWidth="1"/>
    <col min="791" max="791" width="9.375" style="995" customWidth="1"/>
    <col min="792" max="792" width="11.125" style="995" customWidth="1"/>
    <col min="793" max="793" width="12.75" style="995" customWidth="1"/>
    <col min="794" max="794" width="13.125" style="995" customWidth="1"/>
    <col min="795" max="1024" width="7.125" style="995"/>
    <col min="1025" max="1025" width="5.375" style="995" customWidth="1"/>
    <col min="1026" max="1030" width="13.625" style="995" customWidth="1"/>
    <col min="1031" max="1032" width="12.25" style="995" customWidth="1"/>
    <col min="1033" max="1040" width="9.375" style="995" customWidth="1"/>
    <col min="1041" max="1046" width="8.375" style="995" customWidth="1"/>
    <col min="1047" max="1047" width="9.375" style="995" customWidth="1"/>
    <col min="1048" max="1048" width="11.125" style="995" customWidth="1"/>
    <col min="1049" max="1049" width="12.75" style="995" customWidth="1"/>
    <col min="1050" max="1050" width="13.125" style="995" customWidth="1"/>
    <col min="1051" max="1280" width="7.125" style="995"/>
    <col min="1281" max="1281" width="5.375" style="995" customWidth="1"/>
    <col min="1282" max="1286" width="13.625" style="995" customWidth="1"/>
    <col min="1287" max="1288" width="12.25" style="995" customWidth="1"/>
    <col min="1289" max="1296" width="9.375" style="995" customWidth="1"/>
    <col min="1297" max="1302" width="8.375" style="995" customWidth="1"/>
    <col min="1303" max="1303" width="9.375" style="995" customWidth="1"/>
    <col min="1304" max="1304" width="11.125" style="995" customWidth="1"/>
    <col min="1305" max="1305" width="12.75" style="995" customWidth="1"/>
    <col min="1306" max="1306" width="13.125" style="995" customWidth="1"/>
    <col min="1307" max="1536" width="7.125" style="995"/>
    <col min="1537" max="1537" width="5.375" style="995" customWidth="1"/>
    <col min="1538" max="1542" width="13.625" style="995" customWidth="1"/>
    <col min="1543" max="1544" width="12.25" style="995" customWidth="1"/>
    <col min="1545" max="1552" width="9.375" style="995" customWidth="1"/>
    <col min="1553" max="1558" width="8.375" style="995" customWidth="1"/>
    <col min="1559" max="1559" width="9.375" style="995" customWidth="1"/>
    <col min="1560" max="1560" width="11.125" style="995" customWidth="1"/>
    <col min="1561" max="1561" width="12.75" style="995" customWidth="1"/>
    <col min="1562" max="1562" width="13.125" style="995" customWidth="1"/>
    <col min="1563" max="1792" width="7.125" style="995"/>
    <col min="1793" max="1793" width="5.375" style="995" customWidth="1"/>
    <col min="1794" max="1798" width="13.625" style="995" customWidth="1"/>
    <col min="1799" max="1800" width="12.25" style="995" customWidth="1"/>
    <col min="1801" max="1808" width="9.375" style="995" customWidth="1"/>
    <col min="1809" max="1814" width="8.375" style="995" customWidth="1"/>
    <col min="1815" max="1815" width="9.375" style="995" customWidth="1"/>
    <col min="1816" max="1816" width="11.125" style="995" customWidth="1"/>
    <col min="1817" max="1817" width="12.75" style="995" customWidth="1"/>
    <col min="1818" max="1818" width="13.125" style="995" customWidth="1"/>
    <col min="1819" max="2048" width="7.125" style="995"/>
    <col min="2049" max="2049" width="5.375" style="995" customWidth="1"/>
    <col min="2050" max="2054" width="13.625" style="995" customWidth="1"/>
    <col min="2055" max="2056" width="12.25" style="995" customWidth="1"/>
    <col min="2057" max="2064" width="9.375" style="995" customWidth="1"/>
    <col min="2065" max="2070" width="8.375" style="995" customWidth="1"/>
    <col min="2071" max="2071" width="9.375" style="995" customWidth="1"/>
    <col min="2072" max="2072" width="11.125" style="995" customWidth="1"/>
    <col min="2073" max="2073" width="12.75" style="995" customWidth="1"/>
    <col min="2074" max="2074" width="13.125" style="995" customWidth="1"/>
    <col min="2075" max="2304" width="7.125" style="995"/>
    <col min="2305" max="2305" width="5.375" style="995" customWidth="1"/>
    <col min="2306" max="2310" width="13.625" style="995" customWidth="1"/>
    <col min="2311" max="2312" width="12.25" style="995" customWidth="1"/>
    <col min="2313" max="2320" width="9.375" style="995" customWidth="1"/>
    <col min="2321" max="2326" width="8.375" style="995" customWidth="1"/>
    <col min="2327" max="2327" width="9.375" style="995" customWidth="1"/>
    <col min="2328" max="2328" width="11.125" style="995" customWidth="1"/>
    <col min="2329" max="2329" width="12.75" style="995" customWidth="1"/>
    <col min="2330" max="2330" width="13.125" style="995" customWidth="1"/>
    <col min="2331" max="2560" width="7.125" style="995"/>
    <col min="2561" max="2561" width="5.375" style="995" customWidth="1"/>
    <col min="2562" max="2566" width="13.625" style="995" customWidth="1"/>
    <col min="2567" max="2568" width="12.25" style="995" customWidth="1"/>
    <col min="2569" max="2576" width="9.375" style="995" customWidth="1"/>
    <col min="2577" max="2582" width="8.375" style="995" customWidth="1"/>
    <col min="2583" max="2583" width="9.375" style="995" customWidth="1"/>
    <col min="2584" max="2584" width="11.125" style="995" customWidth="1"/>
    <col min="2585" max="2585" width="12.75" style="995" customWidth="1"/>
    <col min="2586" max="2586" width="13.125" style="995" customWidth="1"/>
    <col min="2587" max="2816" width="7.125" style="995"/>
    <col min="2817" max="2817" width="5.375" style="995" customWidth="1"/>
    <col min="2818" max="2822" width="13.625" style="995" customWidth="1"/>
    <col min="2823" max="2824" width="12.25" style="995" customWidth="1"/>
    <col min="2825" max="2832" width="9.375" style="995" customWidth="1"/>
    <col min="2833" max="2838" width="8.375" style="995" customWidth="1"/>
    <col min="2839" max="2839" width="9.375" style="995" customWidth="1"/>
    <col min="2840" max="2840" width="11.125" style="995" customWidth="1"/>
    <col min="2841" max="2841" width="12.75" style="995" customWidth="1"/>
    <col min="2842" max="2842" width="13.125" style="995" customWidth="1"/>
    <col min="2843" max="3072" width="7.125" style="995"/>
    <col min="3073" max="3073" width="5.375" style="995" customWidth="1"/>
    <col min="3074" max="3078" width="13.625" style="995" customWidth="1"/>
    <col min="3079" max="3080" width="12.25" style="995" customWidth="1"/>
    <col min="3081" max="3088" width="9.375" style="995" customWidth="1"/>
    <col min="3089" max="3094" width="8.375" style="995" customWidth="1"/>
    <col min="3095" max="3095" width="9.375" style="995" customWidth="1"/>
    <col min="3096" max="3096" width="11.125" style="995" customWidth="1"/>
    <col min="3097" max="3097" width="12.75" style="995" customWidth="1"/>
    <col min="3098" max="3098" width="13.125" style="995" customWidth="1"/>
    <col min="3099" max="3328" width="7.125" style="995"/>
    <col min="3329" max="3329" width="5.375" style="995" customWidth="1"/>
    <col min="3330" max="3334" width="13.625" style="995" customWidth="1"/>
    <col min="3335" max="3336" width="12.25" style="995" customWidth="1"/>
    <col min="3337" max="3344" width="9.375" style="995" customWidth="1"/>
    <col min="3345" max="3350" width="8.375" style="995" customWidth="1"/>
    <col min="3351" max="3351" width="9.375" style="995" customWidth="1"/>
    <col min="3352" max="3352" width="11.125" style="995" customWidth="1"/>
    <col min="3353" max="3353" width="12.75" style="995" customWidth="1"/>
    <col min="3354" max="3354" width="13.125" style="995" customWidth="1"/>
    <col min="3355" max="3584" width="7.125" style="995"/>
    <col min="3585" max="3585" width="5.375" style="995" customWidth="1"/>
    <col min="3586" max="3590" width="13.625" style="995" customWidth="1"/>
    <col min="3591" max="3592" width="12.25" style="995" customWidth="1"/>
    <col min="3593" max="3600" width="9.375" style="995" customWidth="1"/>
    <col min="3601" max="3606" width="8.375" style="995" customWidth="1"/>
    <col min="3607" max="3607" width="9.375" style="995" customWidth="1"/>
    <col min="3608" max="3608" width="11.125" style="995" customWidth="1"/>
    <col min="3609" max="3609" width="12.75" style="995" customWidth="1"/>
    <col min="3610" max="3610" width="13.125" style="995" customWidth="1"/>
    <col min="3611" max="3840" width="7.125" style="995"/>
    <col min="3841" max="3841" width="5.375" style="995" customWidth="1"/>
    <col min="3842" max="3846" width="13.625" style="995" customWidth="1"/>
    <col min="3847" max="3848" width="12.25" style="995" customWidth="1"/>
    <col min="3849" max="3856" width="9.375" style="995" customWidth="1"/>
    <col min="3857" max="3862" width="8.375" style="995" customWidth="1"/>
    <col min="3863" max="3863" width="9.375" style="995" customWidth="1"/>
    <col min="3864" max="3864" width="11.125" style="995" customWidth="1"/>
    <col min="3865" max="3865" width="12.75" style="995" customWidth="1"/>
    <col min="3866" max="3866" width="13.125" style="995" customWidth="1"/>
    <col min="3867" max="4096" width="7.125" style="995"/>
    <col min="4097" max="4097" width="5.375" style="995" customWidth="1"/>
    <col min="4098" max="4102" width="13.625" style="995" customWidth="1"/>
    <col min="4103" max="4104" width="12.25" style="995" customWidth="1"/>
    <col min="4105" max="4112" width="9.375" style="995" customWidth="1"/>
    <col min="4113" max="4118" width="8.375" style="995" customWidth="1"/>
    <col min="4119" max="4119" width="9.375" style="995" customWidth="1"/>
    <col min="4120" max="4120" width="11.125" style="995" customWidth="1"/>
    <col min="4121" max="4121" width="12.75" style="995" customWidth="1"/>
    <col min="4122" max="4122" width="13.125" style="995" customWidth="1"/>
    <col min="4123" max="4352" width="7.125" style="995"/>
    <col min="4353" max="4353" width="5.375" style="995" customWidth="1"/>
    <col min="4354" max="4358" width="13.625" style="995" customWidth="1"/>
    <col min="4359" max="4360" width="12.25" style="995" customWidth="1"/>
    <col min="4361" max="4368" width="9.375" style="995" customWidth="1"/>
    <col min="4369" max="4374" width="8.375" style="995" customWidth="1"/>
    <col min="4375" max="4375" width="9.375" style="995" customWidth="1"/>
    <col min="4376" max="4376" width="11.125" style="995" customWidth="1"/>
    <col min="4377" max="4377" width="12.75" style="995" customWidth="1"/>
    <col min="4378" max="4378" width="13.125" style="995" customWidth="1"/>
    <col min="4379" max="4608" width="7.125" style="995"/>
    <col min="4609" max="4609" width="5.375" style="995" customWidth="1"/>
    <col min="4610" max="4614" width="13.625" style="995" customWidth="1"/>
    <col min="4615" max="4616" width="12.25" style="995" customWidth="1"/>
    <col min="4617" max="4624" width="9.375" style="995" customWidth="1"/>
    <col min="4625" max="4630" width="8.375" style="995" customWidth="1"/>
    <col min="4631" max="4631" width="9.375" style="995" customWidth="1"/>
    <col min="4632" max="4632" width="11.125" style="995" customWidth="1"/>
    <col min="4633" max="4633" width="12.75" style="995" customWidth="1"/>
    <col min="4634" max="4634" width="13.125" style="995" customWidth="1"/>
    <col min="4635" max="4864" width="7.125" style="995"/>
    <col min="4865" max="4865" width="5.375" style="995" customWidth="1"/>
    <col min="4866" max="4870" width="13.625" style="995" customWidth="1"/>
    <col min="4871" max="4872" width="12.25" style="995" customWidth="1"/>
    <col min="4873" max="4880" width="9.375" style="995" customWidth="1"/>
    <col min="4881" max="4886" width="8.375" style="995" customWidth="1"/>
    <col min="4887" max="4887" width="9.375" style="995" customWidth="1"/>
    <col min="4888" max="4888" width="11.125" style="995" customWidth="1"/>
    <col min="4889" max="4889" width="12.75" style="995" customWidth="1"/>
    <col min="4890" max="4890" width="13.125" style="995" customWidth="1"/>
    <col min="4891" max="5120" width="7.125" style="995"/>
    <col min="5121" max="5121" width="5.375" style="995" customWidth="1"/>
    <col min="5122" max="5126" width="13.625" style="995" customWidth="1"/>
    <col min="5127" max="5128" width="12.25" style="995" customWidth="1"/>
    <col min="5129" max="5136" width="9.375" style="995" customWidth="1"/>
    <col min="5137" max="5142" width="8.375" style="995" customWidth="1"/>
    <col min="5143" max="5143" width="9.375" style="995" customWidth="1"/>
    <col min="5144" max="5144" width="11.125" style="995" customWidth="1"/>
    <col min="5145" max="5145" width="12.75" style="995" customWidth="1"/>
    <col min="5146" max="5146" width="13.125" style="995" customWidth="1"/>
    <col min="5147" max="5376" width="7.125" style="995"/>
    <col min="5377" max="5377" width="5.375" style="995" customWidth="1"/>
    <col min="5378" max="5382" width="13.625" style="995" customWidth="1"/>
    <col min="5383" max="5384" width="12.25" style="995" customWidth="1"/>
    <col min="5385" max="5392" width="9.375" style="995" customWidth="1"/>
    <col min="5393" max="5398" width="8.375" style="995" customWidth="1"/>
    <col min="5399" max="5399" width="9.375" style="995" customWidth="1"/>
    <col min="5400" max="5400" width="11.125" style="995" customWidth="1"/>
    <col min="5401" max="5401" width="12.75" style="995" customWidth="1"/>
    <col min="5402" max="5402" width="13.125" style="995" customWidth="1"/>
    <col min="5403" max="5632" width="7.125" style="995"/>
    <col min="5633" max="5633" width="5.375" style="995" customWidth="1"/>
    <col min="5634" max="5638" width="13.625" style="995" customWidth="1"/>
    <col min="5639" max="5640" width="12.25" style="995" customWidth="1"/>
    <col min="5641" max="5648" width="9.375" style="995" customWidth="1"/>
    <col min="5649" max="5654" width="8.375" style="995" customWidth="1"/>
    <col min="5655" max="5655" width="9.375" style="995" customWidth="1"/>
    <col min="5656" max="5656" width="11.125" style="995" customWidth="1"/>
    <col min="5657" max="5657" width="12.75" style="995" customWidth="1"/>
    <col min="5658" max="5658" width="13.125" style="995" customWidth="1"/>
    <col min="5659" max="5888" width="7.125" style="995"/>
    <col min="5889" max="5889" width="5.375" style="995" customWidth="1"/>
    <col min="5890" max="5894" width="13.625" style="995" customWidth="1"/>
    <col min="5895" max="5896" width="12.25" style="995" customWidth="1"/>
    <col min="5897" max="5904" width="9.375" style="995" customWidth="1"/>
    <col min="5905" max="5910" width="8.375" style="995" customWidth="1"/>
    <col min="5911" max="5911" width="9.375" style="995" customWidth="1"/>
    <col min="5912" max="5912" width="11.125" style="995" customWidth="1"/>
    <col min="5913" max="5913" width="12.75" style="995" customWidth="1"/>
    <col min="5914" max="5914" width="13.125" style="995" customWidth="1"/>
    <col min="5915" max="6144" width="7.125" style="995"/>
    <col min="6145" max="6145" width="5.375" style="995" customWidth="1"/>
    <col min="6146" max="6150" width="13.625" style="995" customWidth="1"/>
    <col min="6151" max="6152" width="12.25" style="995" customWidth="1"/>
    <col min="6153" max="6160" width="9.375" style="995" customWidth="1"/>
    <col min="6161" max="6166" width="8.375" style="995" customWidth="1"/>
    <col min="6167" max="6167" width="9.375" style="995" customWidth="1"/>
    <col min="6168" max="6168" width="11.125" style="995" customWidth="1"/>
    <col min="6169" max="6169" width="12.75" style="995" customWidth="1"/>
    <col min="6170" max="6170" width="13.125" style="995" customWidth="1"/>
    <col min="6171" max="6400" width="7.125" style="995"/>
    <col min="6401" max="6401" width="5.375" style="995" customWidth="1"/>
    <col min="6402" max="6406" width="13.625" style="995" customWidth="1"/>
    <col min="6407" max="6408" width="12.25" style="995" customWidth="1"/>
    <col min="6409" max="6416" width="9.375" style="995" customWidth="1"/>
    <col min="6417" max="6422" width="8.375" style="995" customWidth="1"/>
    <col min="6423" max="6423" width="9.375" style="995" customWidth="1"/>
    <col min="6424" max="6424" width="11.125" style="995" customWidth="1"/>
    <col min="6425" max="6425" width="12.75" style="995" customWidth="1"/>
    <col min="6426" max="6426" width="13.125" style="995" customWidth="1"/>
    <col min="6427" max="6656" width="7.125" style="995"/>
    <col min="6657" max="6657" width="5.375" style="995" customWidth="1"/>
    <col min="6658" max="6662" width="13.625" style="995" customWidth="1"/>
    <col min="6663" max="6664" width="12.25" style="995" customWidth="1"/>
    <col min="6665" max="6672" width="9.375" style="995" customWidth="1"/>
    <col min="6673" max="6678" width="8.375" style="995" customWidth="1"/>
    <col min="6679" max="6679" width="9.375" style="995" customWidth="1"/>
    <col min="6680" max="6680" width="11.125" style="995" customWidth="1"/>
    <col min="6681" max="6681" width="12.75" style="995" customWidth="1"/>
    <col min="6682" max="6682" width="13.125" style="995" customWidth="1"/>
    <col min="6683" max="6912" width="7.125" style="995"/>
    <col min="6913" max="6913" width="5.375" style="995" customWidth="1"/>
    <col min="6914" max="6918" width="13.625" style="995" customWidth="1"/>
    <col min="6919" max="6920" width="12.25" style="995" customWidth="1"/>
    <col min="6921" max="6928" width="9.375" style="995" customWidth="1"/>
    <col min="6929" max="6934" width="8.375" style="995" customWidth="1"/>
    <col min="6935" max="6935" width="9.375" style="995" customWidth="1"/>
    <col min="6936" max="6936" width="11.125" style="995" customWidth="1"/>
    <col min="6937" max="6937" width="12.75" style="995" customWidth="1"/>
    <col min="6938" max="6938" width="13.125" style="995" customWidth="1"/>
    <col min="6939" max="7168" width="7.125" style="995"/>
    <col min="7169" max="7169" width="5.375" style="995" customWidth="1"/>
    <col min="7170" max="7174" width="13.625" style="995" customWidth="1"/>
    <col min="7175" max="7176" width="12.25" style="995" customWidth="1"/>
    <col min="7177" max="7184" width="9.375" style="995" customWidth="1"/>
    <col min="7185" max="7190" width="8.375" style="995" customWidth="1"/>
    <col min="7191" max="7191" width="9.375" style="995" customWidth="1"/>
    <col min="7192" max="7192" width="11.125" style="995" customWidth="1"/>
    <col min="7193" max="7193" width="12.75" style="995" customWidth="1"/>
    <col min="7194" max="7194" width="13.125" style="995" customWidth="1"/>
    <col min="7195" max="7424" width="7.125" style="995"/>
    <col min="7425" max="7425" width="5.375" style="995" customWidth="1"/>
    <col min="7426" max="7430" width="13.625" style="995" customWidth="1"/>
    <col min="7431" max="7432" width="12.25" style="995" customWidth="1"/>
    <col min="7433" max="7440" width="9.375" style="995" customWidth="1"/>
    <col min="7441" max="7446" width="8.375" style="995" customWidth="1"/>
    <col min="7447" max="7447" width="9.375" style="995" customWidth="1"/>
    <col min="7448" max="7448" width="11.125" style="995" customWidth="1"/>
    <col min="7449" max="7449" width="12.75" style="995" customWidth="1"/>
    <col min="7450" max="7450" width="13.125" style="995" customWidth="1"/>
    <col min="7451" max="7680" width="7.125" style="995"/>
    <col min="7681" max="7681" width="5.375" style="995" customWidth="1"/>
    <col min="7682" max="7686" width="13.625" style="995" customWidth="1"/>
    <col min="7687" max="7688" width="12.25" style="995" customWidth="1"/>
    <col min="7689" max="7696" width="9.375" style="995" customWidth="1"/>
    <col min="7697" max="7702" width="8.375" style="995" customWidth="1"/>
    <col min="7703" max="7703" width="9.375" style="995" customWidth="1"/>
    <col min="7704" max="7704" width="11.125" style="995" customWidth="1"/>
    <col min="7705" max="7705" width="12.75" style="995" customWidth="1"/>
    <col min="7706" max="7706" width="13.125" style="995" customWidth="1"/>
    <col min="7707" max="7936" width="7.125" style="995"/>
    <col min="7937" max="7937" width="5.375" style="995" customWidth="1"/>
    <col min="7938" max="7942" width="13.625" style="995" customWidth="1"/>
    <col min="7943" max="7944" width="12.25" style="995" customWidth="1"/>
    <col min="7945" max="7952" width="9.375" style="995" customWidth="1"/>
    <col min="7953" max="7958" width="8.375" style="995" customWidth="1"/>
    <col min="7959" max="7959" width="9.375" style="995" customWidth="1"/>
    <col min="7960" max="7960" width="11.125" style="995" customWidth="1"/>
    <col min="7961" max="7961" width="12.75" style="995" customWidth="1"/>
    <col min="7962" max="7962" width="13.125" style="995" customWidth="1"/>
    <col min="7963" max="8192" width="7.125" style="995"/>
    <col min="8193" max="8193" width="5.375" style="995" customWidth="1"/>
    <col min="8194" max="8198" width="13.625" style="995" customWidth="1"/>
    <col min="8199" max="8200" width="12.25" style="995" customWidth="1"/>
    <col min="8201" max="8208" width="9.375" style="995" customWidth="1"/>
    <col min="8209" max="8214" width="8.375" style="995" customWidth="1"/>
    <col min="8215" max="8215" width="9.375" style="995" customWidth="1"/>
    <col min="8216" max="8216" width="11.125" style="995" customWidth="1"/>
    <col min="8217" max="8217" width="12.75" style="995" customWidth="1"/>
    <col min="8218" max="8218" width="13.125" style="995" customWidth="1"/>
    <col min="8219" max="8448" width="7.125" style="995"/>
    <col min="8449" max="8449" width="5.375" style="995" customWidth="1"/>
    <col min="8450" max="8454" width="13.625" style="995" customWidth="1"/>
    <col min="8455" max="8456" width="12.25" style="995" customWidth="1"/>
    <col min="8457" max="8464" width="9.375" style="995" customWidth="1"/>
    <col min="8465" max="8470" width="8.375" style="995" customWidth="1"/>
    <col min="8471" max="8471" width="9.375" style="995" customWidth="1"/>
    <col min="8472" max="8472" width="11.125" style="995" customWidth="1"/>
    <col min="8473" max="8473" width="12.75" style="995" customWidth="1"/>
    <col min="8474" max="8474" width="13.125" style="995" customWidth="1"/>
    <col min="8475" max="8704" width="7.125" style="995"/>
    <col min="8705" max="8705" width="5.375" style="995" customWidth="1"/>
    <col min="8706" max="8710" width="13.625" style="995" customWidth="1"/>
    <col min="8711" max="8712" width="12.25" style="995" customWidth="1"/>
    <col min="8713" max="8720" width="9.375" style="995" customWidth="1"/>
    <col min="8721" max="8726" width="8.375" style="995" customWidth="1"/>
    <col min="8727" max="8727" width="9.375" style="995" customWidth="1"/>
    <col min="8728" max="8728" width="11.125" style="995" customWidth="1"/>
    <col min="8729" max="8729" width="12.75" style="995" customWidth="1"/>
    <col min="8730" max="8730" width="13.125" style="995" customWidth="1"/>
    <col min="8731" max="8960" width="7.125" style="995"/>
    <col min="8961" max="8961" width="5.375" style="995" customWidth="1"/>
    <col min="8962" max="8966" width="13.625" style="995" customWidth="1"/>
    <col min="8967" max="8968" width="12.25" style="995" customWidth="1"/>
    <col min="8969" max="8976" width="9.375" style="995" customWidth="1"/>
    <col min="8977" max="8982" width="8.375" style="995" customWidth="1"/>
    <col min="8983" max="8983" width="9.375" style="995" customWidth="1"/>
    <col min="8984" max="8984" width="11.125" style="995" customWidth="1"/>
    <col min="8985" max="8985" width="12.75" style="995" customWidth="1"/>
    <col min="8986" max="8986" width="13.125" style="995" customWidth="1"/>
    <col min="8987" max="9216" width="7.125" style="995"/>
    <col min="9217" max="9217" width="5.375" style="995" customWidth="1"/>
    <col min="9218" max="9222" width="13.625" style="995" customWidth="1"/>
    <col min="9223" max="9224" width="12.25" style="995" customWidth="1"/>
    <col min="9225" max="9232" width="9.375" style="995" customWidth="1"/>
    <col min="9233" max="9238" width="8.375" style="995" customWidth="1"/>
    <col min="9239" max="9239" width="9.375" style="995" customWidth="1"/>
    <col min="9240" max="9240" width="11.125" style="995" customWidth="1"/>
    <col min="9241" max="9241" width="12.75" style="995" customWidth="1"/>
    <col min="9242" max="9242" width="13.125" style="995" customWidth="1"/>
    <col min="9243" max="9472" width="7.125" style="995"/>
    <col min="9473" max="9473" width="5.375" style="995" customWidth="1"/>
    <col min="9474" max="9478" width="13.625" style="995" customWidth="1"/>
    <col min="9479" max="9480" width="12.25" style="995" customWidth="1"/>
    <col min="9481" max="9488" width="9.375" style="995" customWidth="1"/>
    <col min="9489" max="9494" width="8.375" style="995" customWidth="1"/>
    <col min="9495" max="9495" width="9.375" style="995" customWidth="1"/>
    <col min="9496" max="9496" width="11.125" style="995" customWidth="1"/>
    <col min="9497" max="9497" width="12.75" style="995" customWidth="1"/>
    <col min="9498" max="9498" width="13.125" style="995" customWidth="1"/>
    <col min="9499" max="9728" width="7.125" style="995"/>
    <col min="9729" max="9729" width="5.375" style="995" customWidth="1"/>
    <col min="9730" max="9734" width="13.625" style="995" customWidth="1"/>
    <col min="9735" max="9736" width="12.25" style="995" customWidth="1"/>
    <col min="9737" max="9744" width="9.375" style="995" customWidth="1"/>
    <col min="9745" max="9750" width="8.375" style="995" customWidth="1"/>
    <col min="9751" max="9751" width="9.375" style="995" customWidth="1"/>
    <col min="9752" max="9752" width="11.125" style="995" customWidth="1"/>
    <col min="9753" max="9753" width="12.75" style="995" customWidth="1"/>
    <col min="9754" max="9754" width="13.125" style="995" customWidth="1"/>
    <col min="9755" max="9984" width="7.125" style="995"/>
    <col min="9985" max="9985" width="5.375" style="995" customWidth="1"/>
    <col min="9986" max="9990" width="13.625" style="995" customWidth="1"/>
    <col min="9991" max="9992" width="12.25" style="995" customWidth="1"/>
    <col min="9993" max="10000" width="9.375" style="995" customWidth="1"/>
    <col min="10001" max="10006" width="8.375" style="995" customWidth="1"/>
    <col min="10007" max="10007" width="9.375" style="995" customWidth="1"/>
    <col min="10008" max="10008" width="11.125" style="995" customWidth="1"/>
    <col min="10009" max="10009" width="12.75" style="995" customWidth="1"/>
    <col min="10010" max="10010" width="13.125" style="995" customWidth="1"/>
    <col min="10011" max="10240" width="7.125" style="995"/>
    <col min="10241" max="10241" width="5.375" style="995" customWidth="1"/>
    <col min="10242" max="10246" width="13.625" style="995" customWidth="1"/>
    <col min="10247" max="10248" width="12.25" style="995" customWidth="1"/>
    <col min="10249" max="10256" width="9.375" style="995" customWidth="1"/>
    <col min="10257" max="10262" width="8.375" style="995" customWidth="1"/>
    <col min="10263" max="10263" width="9.375" style="995" customWidth="1"/>
    <col min="10264" max="10264" width="11.125" style="995" customWidth="1"/>
    <col min="10265" max="10265" width="12.75" style="995" customWidth="1"/>
    <col min="10266" max="10266" width="13.125" style="995" customWidth="1"/>
    <col min="10267" max="10496" width="7.125" style="995"/>
    <col min="10497" max="10497" width="5.375" style="995" customWidth="1"/>
    <col min="10498" max="10502" width="13.625" style="995" customWidth="1"/>
    <col min="10503" max="10504" width="12.25" style="995" customWidth="1"/>
    <col min="10505" max="10512" width="9.375" style="995" customWidth="1"/>
    <col min="10513" max="10518" width="8.375" style="995" customWidth="1"/>
    <col min="10519" max="10519" width="9.375" style="995" customWidth="1"/>
    <col min="10520" max="10520" width="11.125" style="995" customWidth="1"/>
    <col min="10521" max="10521" width="12.75" style="995" customWidth="1"/>
    <col min="10522" max="10522" width="13.125" style="995" customWidth="1"/>
    <col min="10523" max="10752" width="7.125" style="995"/>
    <col min="10753" max="10753" width="5.375" style="995" customWidth="1"/>
    <col min="10754" max="10758" width="13.625" style="995" customWidth="1"/>
    <col min="10759" max="10760" width="12.25" style="995" customWidth="1"/>
    <col min="10761" max="10768" width="9.375" style="995" customWidth="1"/>
    <col min="10769" max="10774" width="8.375" style="995" customWidth="1"/>
    <col min="10775" max="10775" width="9.375" style="995" customWidth="1"/>
    <col min="10776" max="10776" width="11.125" style="995" customWidth="1"/>
    <col min="10777" max="10777" width="12.75" style="995" customWidth="1"/>
    <col min="10778" max="10778" width="13.125" style="995" customWidth="1"/>
    <col min="10779" max="11008" width="7.125" style="995"/>
    <col min="11009" max="11009" width="5.375" style="995" customWidth="1"/>
    <col min="11010" max="11014" width="13.625" style="995" customWidth="1"/>
    <col min="11015" max="11016" width="12.25" style="995" customWidth="1"/>
    <col min="11017" max="11024" width="9.375" style="995" customWidth="1"/>
    <col min="11025" max="11030" width="8.375" style="995" customWidth="1"/>
    <col min="11031" max="11031" width="9.375" style="995" customWidth="1"/>
    <col min="11032" max="11032" width="11.125" style="995" customWidth="1"/>
    <col min="11033" max="11033" width="12.75" style="995" customWidth="1"/>
    <col min="11034" max="11034" width="13.125" style="995" customWidth="1"/>
    <col min="11035" max="11264" width="7.125" style="995"/>
    <col min="11265" max="11265" width="5.375" style="995" customWidth="1"/>
    <col min="11266" max="11270" width="13.625" style="995" customWidth="1"/>
    <col min="11271" max="11272" width="12.25" style="995" customWidth="1"/>
    <col min="11273" max="11280" width="9.375" style="995" customWidth="1"/>
    <col min="11281" max="11286" width="8.375" style="995" customWidth="1"/>
    <col min="11287" max="11287" width="9.375" style="995" customWidth="1"/>
    <col min="11288" max="11288" width="11.125" style="995" customWidth="1"/>
    <col min="11289" max="11289" width="12.75" style="995" customWidth="1"/>
    <col min="11290" max="11290" width="13.125" style="995" customWidth="1"/>
    <col min="11291" max="11520" width="7.125" style="995"/>
    <col min="11521" max="11521" width="5.375" style="995" customWidth="1"/>
    <col min="11522" max="11526" width="13.625" style="995" customWidth="1"/>
    <col min="11527" max="11528" width="12.25" style="995" customWidth="1"/>
    <col min="11529" max="11536" width="9.375" style="995" customWidth="1"/>
    <col min="11537" max="11542" width="8.375" style="995" customWidth="1"/>
    <col min="11543" max="11543" width="9.375" style="995" customWidth="1"/>
    <col min="11544" max="11544" width="11.125" style="995" customWidth="1"/>
    <col min="11545" max="11545" width="12.75" style="995" customWidth="1"/>
    <col min="11546" max="11546" width="13.125" style="995" customWidth="1"/>
    <col min="11547" max="11776" width="7.125" style="995"/>
    <col min="11777" max="11777" width="5.375" style="995" customWidth="1"/>
    <col min="11778" max="11782" width="13.625" style="995" customWidth="1"/>
    <col min="11783" max="11784" width="12.25" style="995" customWidth="1"/>
    <col min="11785" max="11792" width="9.375" style="995" customWidth="1"/>
    <col min="11793" max="11798" width="8.375" style="995" customWidth="1"/>
    <col min="11799" max="11799" width="9.375" style="995" customWidth="1"/>
    <col min="11800" max="11800" width="11.125" style="995" customWidth="1"/>
    <col min="11801" max="11801" width="12.75" style="995" customWidth="1"/>
    <col min="11802" max="11802" width="13.125" style="995" customWidth="1"/>
    <col min="11803" max="12032" width="7.125" style="995"/>
    <col min="12033" max="12033" width="5.375" style="995" customWidth="1"/>
    <col min="12034" max="12038" width="13.625" style="995" customWidth="1"/>
    <col min="12039" max="12040" width="12.25" style="995" customWidth="1"/>
    <col min="12041" max="12048" width="9.375" style="995" customWidth="1"/>
    <col min="12049" max="12054" width="8.375" style="995" customWidth="1"/>
    <col min="12055" max="12055" width="9.375" style="995" customWidth="1"/>
    <col min="12056" max="12056" width="11.125" style="995" customWidth="1"/>
    <col min="12057" max="12057" width="12.75" style="995" customWidth="1"/>
    <col min="12058" max="12058" width="13.125" style="995" customWidth="1"/>
    <col min="12059" max="12288" width="7.125" style="995"/>
    <col min="12289" max="12289" width="5.375" style="995" customWidth="1"/>
    <col min="12290" max="12294" width="13.625" style="995" customWidth="1"/>
    <col min="12295" max="12296" width="12.25" style="995" customWidth="1"/>
    <col min="12297" max="12304" width="9.375" style="995" customWidth="1"/>
    <col min="12305" max="12310" width="8.375" style="995" customWidth="1"/>
    <col min="12311" max="12311" width="9.375" style="995" customWidth="1"/>
    <col min="12312" max="12312" width="11.125" style="995" customWidth="1"/>
    <col min="12313" max="12313" width="12.75" style="995" customWidth="1"/>
    <col min="12314" max="12314" width="13.125" style="995" customWidth="1"/>
    <col min="12315" max="12544" width="7.125" style="995"/>
    <col min="12545" max="12545" width="5.375" style="995" customWidth="1"/>
    <col min="12546" max="12550" width="13.625" style="995" customWidth="1"/>
    <col min="12551" max="12552" width="12.25" style="995" customWidth="1"/>
    <col min="12553" max="12560" width="9.375" style="995" customWidth="1"/>
    <col min="12561" max="12566" width="8.375" style="995" customWidth="1"/>
    <col min="12567" max="12567" width="9.375" style="995" customWidth="1"/>
    <col min="12568" max="12568" width="11.125" style="995" customWidth="1"/>
    <col min="12569" max="12569" width="12.75" style="995" customWidth="1"/>
    <col min="12570" max="12570" width="13.125" style="995" customWidth="1"/>
    <col min="12571" max="12800" width="7.125" style="995"/>
    <col min="12801" max="12801" width="5.375" style="995" customWidth="1"/>
    <col min="12802" max="12806" width="13.625" style="995" customWidth="1"/>
    <col min="12807" max="12808" width="12.25" style="995" customWidth="1"/>
    <col min="12809" max="12816" width="9.375" style="995" customWidth="1"/>
    <col min="12817" max="12822" width="8.375" style="995" customWidth="1"/>
    <col min="12823" max="12823" width="9.375" style="995" customWidth="1"/>
    <col min="12824" max="12824" width="11.125" style="995" customWidth="1"/>
    <col min="12825" max="12825" width="12.75" style="995" customWidth="1"/>
    <col min="12826" max="12826" width="13.125" style="995" customWidth="1"/>
    <col min="12827" max="13056" width="7.125" style="995"/>
    <col min="13057" max="13057" width="5.375" style="995" customWidth="1"/>
    <col min="13058" max="13062" width="13.625" style="995" customWidth="1"/>
    <col min="13063" max="13064" width="12.25" style="995" customWidth="1"/>
    <col min="13065" max="13072" width="9.375" style="995" customWidth="1"/>
    <col min="13073" max="13078" width="8.375" style="995" customWidth="1"/>
    <col min="13079" max="13079" width="9.375" style="995" customWidth="1"/>
    <col min="13080" max="13080" width="11.125" style="995" customWidth="1"/>
    <col min="13081" max="13081" width="12.75" style="995" customWidth="1"/>
    <col min="13082" max="13082" width="13.125" style="995" customWidth="1"/>
    <col min="13083" max="13312" width="7.125" style="995"/>
    <col min="13313" max="13313" width="5.375" style="995" customWidth="1"/>
    <col min="13314" max="13318" width="13.625" style="995" customWidth="1"/>
    <col min="13319" max="13320" width="12.25" style="995" customWidth="1"/>
    <col min="13321" max="13328" width="9.375" style="995" customWidth="1"/>
    <col min="13329" max="13334" width="8.375" style="995" customWidth="1"/>
    <col min="13335" max="13335" width="9.375" style="995" customWidth="1"/>
    <col min="13336" max="13336" width="11.125" style="995" customWidth="1"/>
    <col min="13337" max="13337" width="12.75" style="995" customWidth="1"/>
    <col min="13338" max="13338" width="13.125" style="995" customWidth="1"/>
    <col min="13339" max="13568" width="7.125" style="995"/>
    <col min="13569" max="13569" width="5.375" style="995" customWidth="1"/>
    <col min="13570" max="13574" width="13.625" style="995" customWidth="1"/>
    <col min="13575" max="13576" width="12.25" style="995" customWidth="1"/>
    <col min="13577" max="13584" width="9.375" style="995" customWidth="1"/>
    <col min="13585" max="13590" width="8.375" style="995" customWidth="1"/>
    <col min="13591" max="13591" width="9.375" style="995" customWidth="1"/>
    <col min="13592" max="13592" width="11.125" style="995" customWidth="1"/>
    <col min="13593" max="13593" width="12.75" style="995" customWidth="1"/>
    <col min="13594" max="13594" width="13.125" style="995" customWidth="1"/>
    <col min="13595" max="13824" width="7.125" style="995"/>
    <col min="13825" max="13825" width="5.375" style="995" customWidth="1"/>
    <col min="13826" max="13830" width="13.625" style="995" customWidth="1"/>
    <col min="13831" max="13832" width="12.25" style="995" customWidth="1"/>
    <col min="13833" max="13840" width="9.375" style="995" customWidth="1"/>
    <col min="13841" max="13846" width="8.375" style="995" customWidth="1"/>
    <col min="13847" max="13847" width="9.375" style="995" customWidth="1"/>
    <col min="13848" max="13848" width="11.125" style="995" customWidth="1"/>
    <col min="13849" max="13849" width="12.75" style="995" customWidth="1"/>
    <col min="13850" max="13850" width="13.125" style="995" customWidth="1"/>
    <col min="13851" max="14080" width="7.125" style="995"/>
    <col min="14081" max="14081" width="5.375" style="995" customWidth="1"/>
    <col min="14082" max="14086" width="13.625" style="995" customWidth="1"/>
    <col min="14087" max="14088" width="12.25" style="995" customWidth="1"/>
    <col min="14089" max="14096" width="9.375" style="995" customWidth="1"/>
    <col min="14097" max="14102" width="8.375" style="995" customWidth="1"/>
    <col min="14103" max="14103" width="9.375" style="995" customWidth="1"/>
    <col min="14104" max="14104" width="11.125" style="995" customWidth="1"/>
    <col min="14105" max="14105" width="12.75" style="995" customWidth="1"/>
    <col min="14106" max="14106" width="13.125" style="995" customWidth="1"/>
    <col min="14107" max="14336" width="7.125" style="995"/>
    <col min="14337" max="14337" width="5.375" style="995" customWidth="1"/>
    <col min="14338" max="14342" width="13.625" style="995" customWidth="1"/>
    <col min="14343" max="14344" width="12.25" style="995" customWidth="1"/>
    <col min="14345" max="14352" width="9.375" style="995" customWidth="1"/>
    <col min="14353" max="14358" width="8.375" style="995" customWidth="1"/>
    <col min="14359" max="14359" width="9.375" style="995" customWidth="1"/>
    <col min="14360" max="14360" width="11.125" style="995" customWidth="1"/>
    <col min="14361" max="14361" width="12.75" style="995" customWidth="1"/>
    <col min="14362" max="14362" width="13.125" style="995" customWidth="1"/>
    <col min="14363" max="14592" width="7.125" style="995"/>
    <col min="14593" max="14593" width="5.375" style="995" customWidth="1"/>
    <col min="14594" max="14598" width="13.625" style="995" customWidth="1"/>
    <col min="14599" max="14600" width="12.25" style="995" customWidth="1"/>
    <col min="14601" max="14608" width="9.375" style="995" customWidth="1"/>
    <col min="14609" max="14614" width="8.375" style="995" customWidth="1"/>
    <col min="14615" max="14615" width="9.375" style="995" customWidth="1"/>
    <col min="14616" max="14616" width="11.125" style="995" customWidth="1"/>
    <col min="14617" max="14617" width="12.75" style="995" customWidth="1"/>
    <col min="14618" max="14618" width="13.125" style="995" customWidth="1"/>
    <col min="14619" max="14848" width="7.125" style="995"/>
    <col min="14849" max="14849" width="5.375" style="995" customWidth="1"/>
    <col min="14850" max="14854" width="13.625" style="995" customWidth="1"/>
    <col min="14855" max="14856" width="12.25" style="995" customWidth="1"/>
    <col min="14857" max="14864" width="9.375" style="995" customWidth="1"/>
    <col min="14865" max="14870" width="8.375" style="995" customWidth="1"/>
    <col min="14871" max="14871" width="9.375" style="995" customWidth="1"/>
    <col min="14872" max="14872" width="11.125" style="995" customWidth="1"/>
    <col min="14873" max="14873" width="12.75" style="995" customWidth="1"/>
    <col min="14874" max="14874" width="13.125" style="995" customWidth="1"/>
    <col min="14875" max="15104" width="7.125" style="995"/>
    <col min="15105" max="15105" width="5.375" style="995" customWidth="1"/>
    <col min="15106" max="15110" width="13.625" style="995" customWidth="1"/>
    <col min="15111" max="15112" width="12.25" style="995" customWidth="1"/>
    <col min="15113" max="15120" width="9.375" style="995" customWidth="1"/>
    <col min="15121" max="15126" width="8.375" style="995" customWidth="1"/>
    <col min="15127" max="15127" width="9.375" style="995" customWidth="1"/>
    <col min="15128" max="15128" width="11.125" style="995" customWidth="1"/>
    <col min="15129" max="15129" width="12.75" style="995" customWidth="1"/>
    <col min="15130" max="15130" width="13.125" style="995" customWidth="1"/>
    <col min="15131" max="15360" width="7.125" style="995"/>
    <col min="15361" max="15361" width="5.375" style="995" customWidth="1"/>
    <col min="15362" max="15366" width="13.625" style="995" customWidth="1"/>
    <col min="15367" max="15368" width="12.25" style="995" customWidth="1"/>
    <col min="15369" max="15376" width="9.375" style="995" customWidth="1"/>
    <col min="15377" max="15382" width="8.375" style="995" customWidth="1"/>
    <col min="15383" max="15383" width="9.375" style="995" customWidth="1"/>
    <col min="15384" max="15384" width="11.125" style="995" customWidth="1"/>
    <col min="15385" max="15385" width="12.75" style="995" customWidth="1"/>
    <col min="15386" max="15386" width="13.125" style="995" customWidth="1"/>
    <col min="15387" max="15616" width="7.125" style="995"/>
    <col min="15617" max="15617" width="5.375" style="995" customWidth="1"/>
    <col min="15618" max="15622" width="13.625" style="995" customWidth="1"/>
    <col min="15623" max="15624" width="12.25" style="995" customWidth="1"/>
    <col min="15625" max="15632" width="9.375" style="995" customWidth="1"/>
    <col min="15633" max="15638" width="8.375" style="995" customWidth="1"/>
    <col min="15639" max="15639" width="9.375" style="995" customWidth="1"/>
    <col min="15640" max="15640" width="11.125" style="995" customWidth="1"/>
    <col min="15641" max="15641" width="12.75" style="995" customWidth="1"/>
    <col min="15642" max="15642" width="13.125" style="995" customWidth="1"/>
    <col min="15643" max="15872" width="7.125" style="995"/>
    <col min="15873" max="15873" width="5.375" style="995" customWidth="1"/>
    <col min="15874" max="15878" width="13.625" style="995" customWidth="1"/>
    <col min="15879" max="15880" width="12.25" style="995" customWidth="1"/>
    <col min="15881" max="15888" width="9.375" style="995" customWidth="1"/>
    <col min="15889" max="15894" width="8.375" style="995" customWidth="1"/>
    <col min="15895" max="15895" width="9.375" style="995" customWidth="1"/>
    <col min="15896" max="15896" width="11.125" style="995" customWidth="1"/>
    <col min="15897" max="15897" width="12.75" style="995" customWidth="1"/>
    <col min="15898" max="15898" width="13.125" style="995" customWidth="1"/>
    <col min="15899" max="16128" width="7.125" style="995"/>
    <col min="16129" max="16129" width="5.375" style="995" customWidth="1"/>
    <col min="16130" max="16134" width="13.625" style="995" customWidth="1"/>
    <col min="16135" max="16136" width="12.25" style="995" customWidth="1"/>
    <col min="16137" max="16144" width="9.375" style="995" customWidth="1"/>
    <col min="16145" max="16150" width="8.375" style="995" customWidth="1"/>
    <col min="16151" max="16151" width="9.375" style="995" customWidth="1"/>
    <col min="16152" max="16152" width="11.125" style="995" customWidth="1"/>
    <col min="16153" max="16153" width="12.75" style="995" customWidth="1"/>
    <col min="16154" max="16154" width="13.125" style="995" customWidth="1"/>
    <col min="16155" max="16384" width="7.125" style="995"/>
  </cols>
  <sheetData>
    <row r="1" spans="1:26" ht="19.5" customHeight="1">
      <c r="A1" s="1974" t="s">
        <v>734</v>
      </c>
      <c r="B1" s="1974"/>
      <c r="C1" s="1974"/>
      <c r="D1" s="1974"/>
      <c r="E1" s="1974"/>
      <c r="F1" s="1974"/>
      <c r="G1" s="1974"/>
      <c r="H1" s="1974"/>
      <c r="I1" s="1974"/>
      <c r="J1" s="1974"/>
      <c r="K1" s="1974"/>
      <c r="L1" s="1974"/>
      <c r="M1" s="1974"/>
      <c r="N1" s="1974"/>
      <c r="O1" s="1974"/>
      <c r="P1" s="1974"/>
      <c r="Q1" s="1975" t="s">
        <v>735</v>
      </c>
      <c r="R1" s="1975"/>
      <c r="S1" s="1975"/>
      <c r="T1" s="1975"/>
      <c r="U1" s="1975"/>
      <c r="V1" s="1975"/>
      <c r="W1" s="1975"/>
    </row>
    <row r="2" spans="1:26" ht="19.5" customHeight="1">
      <c r="A2" s="1976" t="s">
        <v>736</v>
      </c>
      <c r="B2" s="1976"/>
      <c r="C2" s="1976"/>
      <c r="D2" s="1976"/>
      <c r="E2" s="1976"/>
      <c r="F2" s="1976"/>
      <c r="G2" s="1976"/>
      <c r="H2" s="1976"/>
      <c r="I2" s="1976"/>
      <c r="J2" s="1976"/>
      <c r="K2" s="1976"/>
      <c r="L2" s="1976"/>
      <c r="M2" s="1976"/>
      <c r="N2" s="1976"/>
      <c r="O2" s="1976"/>
      <c r="P2" s="1976"/>
      <c r="Q2" s="1977" t="s">
        <v>737</v>
      </c>
      <c r="R2" s="1977"/>
      <c r="S2" s="1977"/>
      <c r="T2" s="1977"/>
      <c r="U2" s="1977"/>
      <c r="V2" s="1977"/>
      <c r="W2" s="1977"/>
    </row>
    <row r="4" spans="1:26" ht="18.75">
      <c r="A4" s="1978" t="s">
        <v>738</v>
      </c>
      <c r="B4" s="1978"/>
      <c r="C4" s="1978"/>
      <c r="D4" s="1978"/>
      <c r="E4" s="1978"/>
      <c r="F4" s="1978"/>
      <c r="G4" s="1978"/>
      <c r="H4" s="1978"/>
      <c r="I4" s="1978"/>
      <c r="J4" s="1978"/>
      <c r="K4" s="1978"/>
      <c r="L4" s="1978"/>
      <c r="M4" s="1978"/>
      <c r="N4" s="1978"/>
      <c r="O4" s="1978"/>
      <c r="P4" s="1978"/>
      <c r="Q4" s="1978"/>
      <c r="R4" s="1978"/>
      <c r="S4" s="1978"/>
      <c r="T4" s="1978"/>
      <c r="U4" s="1978"/>
      <c r="V4" s="1978"/>
      <c r="W4" s="1978"/>
    </row>
    <row r="5" spans="1:26" ht="15.75">
      <c r="A5" s="996"/>
      <c r="B5" s="996"/>
      <c r="C5" s="996"/>
      <c r="D5" s="996"/>
      <c r="E5" s="996"/>
      <c r="F5" s="996"/>
      <c r="G5" s="997"/>
      <c r="H5" s="997"/>
      <c r="I5" s="998"/>
      <c r="J5" s="998"/>
      <c r="K5" s="998"/>
      <c r="L5" s="999"/>
      <c r="M5" s="999"/>
      <c r="N5" s="999"/>
      <c r="O5" s="999"/>
      <c r="P5" s="999"/>
      <c r="R5" s="1001"/>
      <c r="S5" s="1001"/>
      <c r="T5" s="1001"/>
      <c r="U5" s="1001"/>
    </row>
    <row r="6" spans="1:26" s="1002" customFormat="1" ht="33" customHeight="1">
      <c r="A6" s="1979" t="s">
        <v>14</v>
      </c>
      <c r="B6" s="1982" t="s">
        <v>739</v>
      </c>
      <c r="C6" s="1973" t="s">
        <v>267</v>
      </c>
      <c r="D6" s="1973" t="s">
        <v>740</v>
      </c>
      <c r="E6" s="1973" t="s">
        <v>741</v>
      </c>
      <c r="F6" s="1973" t="s">
        <v>742</v>
      </c>
      <c r="G6" s="1973" t="s">
        <v>743</v>
      </c>
      <c r="H6" s="1973" t="s">
        <v>744</v>
      </c>
      <c r="I6" s="1973" t="s">
        <v>745</v>
      </c>
      <c r="J6" s="1973" t="s">
        <v>746</v>
      </c>
      <c r="K6" s="1973" t="s">
        <v>747</v>
      </c>
      <c r="L6" s="1987" t="s">
        <v>748</v>
      </c>
      <c r="M6" s="1987"/>
      <c r="N6" s="1987"/>
      <c r="O6" s="1987"/>
      <c r="P6" s="1987"/>
      <c r="Q6" s="1987" t="s">
        <v>749</v>
      </c>
      <c r="R6" s="1987"/>
      <c r="S6" s="1987"/>
      <c r="T6" s="1987"/>
      <c r="U6" s="1987"/>
      <c r="V6" s="1987"/>
      <c r="W6" s="1985" t="s">
        <v>6</v>
      </c>
    </row>
    <row r="7" spans="1:26" s="1003" customFormat="1" ht="29.25" customHeight="1">
      <c r="A7" s="1980"/>
      <c r="B7" s="1983"/>
      <c r="C7" s="1973"/>
      <c r="D7" s="1973"/>
      <c r="E7" s="1973"/>
      <c r="F7" s="1973"/>
      <c r="G7" s="1973"/>
      <c r="H7" s="1973"/>
      <c r="I7" s="1973"/>
      <c r="J7" s="1973"/>
      <c r="K7" s="1973"/>
      <c r="L7" s="1986" t="s">
        <v>750</v>
      </c>
      <c r="M7" s="1986" t="s">
        <v>751</v>
      </c>
      <c r="N7" s="1986" t="s">
        <v>752</v>
      </c>
      <c r="O7" s="1986" t="s">
        <v>753</v>
      </c>
      <c r="P7" s="1986" t="s">
        <v>784</v>
      </c>
      <c r="Q7" s="1986" t="s">
        <v>754</v>
      </c>
      <c r="R7" s="1986" t="s">
        <v>743</v>
      </c>
      <c r="S7" s="1986" t="s">
        <v>755</v>
      </c>
      <c r="T7" s="1986" t="s">
        <v>756</v>
      </c>
      <c r="U7" s="1986" t="s">
        <v>757</v>
      </c>
      <c r="V7" s="1986" t="s">
        <v>758</v>
      </c>
      <c r="W7" s="1985"/>
    </row>
    <row r="8" spans="1:26" s="1003" customFormat="1" ht="35.25" customHeight="1">
      <c r="A8" s="1980"/>
      <c r="B8" s="1983"/>
      <c r="C8" s="1973"/>
      <c r="D8" s="1973"/>
      <c r="E8" s="1973"/>
      <c r="F8" s="1973"/>
      <c r="G8" s="1973"/>
      <c r="H8" s="1973"/>
      <c r="I8" s="1973"/>
      <c r="J8" s="1973"/>
      <c r="K8" s="1973"/>
      <c r="L8" s="1986"/>
      <c r="M8" s="1986"/>
      <c r="N8" s="1986"/>
      <c r="O8" s="1986"/>
      <c r="P8" s="1986"/>
      <c r="Q8" s="1986"/>
      <c r="R8" s="1986"/>
      <c r="S8" s="1986"/>
      <c r="T8" s="1986"/>
      <c r="U8" s="1986"/>
      <c r="V8" s="1986"/>
      <c r="W8" s="1985"/>
    </row>
    <row r="9" spans="1:26" s="1003" customFormat="1" ht="14.25" customHeight="1">
      <c r="A9" s="1981"/>
      <c r="B9" s="1984"/>
      <c r="C9" s="1973"/>
      <c r="D9" s="1973"/>
      <c r="E9" s="1973"/>
      <c r="F9" s="1973"/>
      <c r="G9" s="1973"/>
      <c r="H9" s="1973"/>
      <c r="I9" s="1973"/>
      <c r="J9" s="1973"/>
      <c r="K9" s="1973"/>
      <c r="L9" s="1986"/>
      <c r="M9" s="1986"/>
      <c r="N9" s="1986"/>
      <c r="O9" s="1986"/>
      <c r="P9" s="1986"/>
      <c r="Q9" s="1986"/>
      <c r="R9" s="1986"/>
      <c r="S9" s="1986"/>
      <c r="T9" s="1986"/>
      <c r="U9" s="1986"/>
      <c r="V9" s="1986"/>
      <c r="W9" s="1985"/>
      <c r="X9" s="1004"/>
      <c r="Y9" s="1004"/>
      <c r="Z9" s="1004"/>
    </row>
    <row r="10" spans="1:26" s="1013" customFormat="1" ht="20.25" customHeight="1">
      <c r="A10" s="1005"/>
      <c r="B10" s="1006" t="s">
        <v>759</v>
      </c>
      <c r="C10" s="1007"/>
      <c r="D10" s="1008">
        <f t="shared" ref="D10:N10" si="0">SUM(D11:D11)</f>
        <v>8000</v>
      </c>
      <c r="E10" s="1008">
        <f t="shared" si="0"/>
        <v>2400</v>
      </c>
      <c r="F10" s="1008">
        <f t="shared" si="0"/>
        <v>5600</v>
      </c>
      <c r="G10" s="1008">
        <f t="shared" si="0"/>
        <v>4026.666666666667</v>
      </c>
      <c r="H10" s="1008">
        <f t="shared" si="0"/>
        <v>56373.333333333336</v>
      </c>
      <c r="I10" s="1009">
        <f t="shared" si="0"/>
        <v>4685.4901960784318</v>
      </c>
      <c r="J10" s="1009">
        <f t="shared" si="0"/>
        <v>2160</v>
      </c>
      <c r="K10" s="1009">
        <f t="shared" si="0"/>
        <v>2525.4901960784314</v>
      </c>
      <c r="L10" s="1010">
        <f t="shared" si="0"/>
        <v>2400</v>
      </c>
      <c r="M10" s="1010">
        <f t="shared" si="0"/>
        <v>2160</v>
      </c>
      <c r="N10" s="1010">
        <f t="shared" si="0"/>
        <v>2160</v>
      </c>
      <c r="O10" s="1010"/>
      <c r="P10" s="1010">
        <f>SUM(P11:P11)</f>
        <v>240</v>
      </c>
      <c r="Q10" s="1010">
        <f>SUM(Q11:Q11)</f>
        <v>5600</v>
      </c>
      <c r="R10" s="1010">
        <f>SUM(R11:R11)</f>
        <v>1866.6666666666667</v>
      </c>
      <c r="S10" s="1010">
        <f>SUM(S11:S11)</f>
        <v>5600</v>
      </c>
      <c r="T10" s="1010"/>
      <c r="U10" s="1010">
        <f>SUM(U11:U11)</f>
        <v>0</v>
      </c>
      <c r="V10" s="1010">
        <f>SUM(V11:V11)</f>
        <v>0</v>
      </c>
      <c r="W10" s="1011"/>
      <c r="X10" s="1012"/>
      <c r="Y10" s="1012"/>
      <c r="Z10" s="1012"/>
    </row>
    <row r="11" spans="1:26" s="1024" customFormat="1" ht="20.25" customHeight="1">
      <c r="A11" s="1014">
        <v>5</v>
      </c>
      <c r="B11" s="1015" t="s">
        <v>791</v>
      </c>
      <c r="C11" s="1015">
        <v>1</v>
      </c>
      <c r="D11" s="1016">
        <v>8000</v>
      </c>
      <c r="E11" s="1017">
        <f>D11*30%</f>
        <v>2400</v>
      </c>
      <c r="F11" s="1017">
        <f>D11-E11</f>
        <v>5600</v>
      </c>
      <c r="G11" s="1018">
        <f>E11*90%+F11/3</f>
        <v>4026.666666666667</v>
      </c>
      <c r="H11" s="1018">
        <f>(G11*14)</f>
        <v>56373.333333333336</v>
      </c>
      <c r="I11" s="1018">
        <f t="shared" ref="I11" si="1">SUM(J11:K11)</f>
        <v>4685.4901960784318</v>
      </c>
      <c r="J11" s="1018">
        <f t="shared" ref="J11" si="2">N11*O11</f>
        <v>2160</v>
      </c>
      <c r="K11" s="1018">
        <f t="shared" ref="K11" si="3">S11*T11</f>
        <v>2525.4901960784314</v>
      </c>
      <c r="L11" s="1019">
        <f>E11</f>
        <v>2400</v>
      </c>
      <c r="M11" s="1019">
        <f>L11*90%</f>
        <v>2160</v>
      </c>
      <c r="N11" s="1019">
        <f t="shared" ref="N11" si="4">M11</f>
        <v>2160</v>
      </c>
      <c r="O11" s="1118">
        <f t="shared" ref="O11" si="5">((M11*28)+(N11*6))/(N11*34)</f>
        <v>1</v>
      </c>
      <c r="P11" s="1019">
        <f t="shared" ref="P11" si="6">L11-N11</f>
        <v>240</v>
      </c>
      <c r="Q11" s="1020">
        <f>D11-E11</f>
        <v>5600</v>
      </c>
      <c r="R11" s="1020">
        <f>Q11/3</f>
        <v>1866.6666666666667</v>
      </c>
      <c r="S11" s="1020">
        <f>Q11</f>
        <v>5600</v>
      </c>
      <c r="T11" s="1021">
        <f t="shared" ref="T11" si="7">((R11*28)+(S11*6))/(S11*34)</f>
        <v>0.45098039215686275</v>
      </c>
      <c r="U11" s="1020">
        <v>0</v>
      </c>
      <c r="V11" s="1020">
        <v>0</v>
      </c>
      <c r="W11" s="1022"/>
      <c r="X11" s="1023"/>
      <c r="Z11" s="1025"/>
    </row>
    <row r="12" spans="1:26" s="1024" customFormat="1" ht="20.25" customHeight="1">
      <c r="A12" s="1014">
        <v>5</v>
      </c>
      <c r="B12" s="1015" t="s">
        <v>792</v>
      </c>
      <c r="C12" s="1015">
        <v>1</v>
      </c>
      <c r="D12" s="1016">
        <v>8000</v>
      </c>
      <c r="E12" s="1017">
        <f>D12*30%</f>
        <v>2400</v>
      </c>
      <c r="F12" s="1017">
        <f>D12-E12</f>
        <v>5600</v>
      </c>
      <c r="G12" s="1018">
        <f>E12*90%+F12/3</f>
        <v>4026.666666666667</v>
      </c>
      <c r="H12" s="1018">
        <f>G12*3</f>
        <v>12080</v>
      </c>
      <c r="I12" s="1018">
        <f t="shared" ref="I12" si="8">SUM(J12:K12)</f>
        <v>4757.101449275362</v>
      </c>
      <c r="J12" s="1018">
        <f t="shared" ref="J12" si="9">N12*O12</f>
        <v>2160</v>
      </c>
      <c r="K12" s="1018">
        <f t="shared" ref="K12" si="10">S12*T12</f>
        <v>2597.1014492753625</v>
      </c>
      <c r="L12" s="1019">
        <f>E12</f>
        <v>2400</v>
      </c>
      <c r="M12" s="1019">
        <f>L12*90%</f>
        <v>2160</v>
      </c>
      <c r="N12" s="1019">
        <f t="shared" ref="N12" si="11">M12</f>
        <v>2160</v>
      </c>
      <c r="O12" s="1118">
        <f t="shared" ref="O12" si="12">((M12*28)+(N12*6))/(N12*34)</f>
        <v>1</v>
      </c>
      <c r="P12" s="1019">
        <f t="shared" ref="P12" si="13">L12-N12</f>
        <v>240</v>
      </c>
      <c r="Q12" s="1020">
        <f>D12-E12</f>
        <v>5600</v>
      </c>
      <c r="R12" s="1020">
        <f>Q12/3</f>
        <v>1866.6666666666667</v>
      </c>
      <c r="S12" s="1020">
        <f>Q12</f>
        <v>5600</v>
      </c>
      <c r="T12" s="1021">
        <f>((R12*37)+(S12*9))/(S12*46)</f>
        <v>0.46376811594202899</v>
      </c>
      <c r="U12" s="1020">
        <v>0</v>
      </c>
      <c r="V12" s="1020">
        <v>0</v>
      </c>
      <c r="W12" s="1022"/>
      <c r="X12" s="1023"/>
      <c r="Z12" s="1025"/>
    </row>
    <row r="13" spans="1:26" ht="16.5">
      <c r="G13" s="1026"/>
      <c r="H13" s="1026"/>
      <c r="I13" s="1026"/>
      <c r="J13" s="1026"/>
      <c r="K13" s="1026"/>
      <c r="L13" s="1027"/>
      <c r="M13" s="1027"/>
      <c r="N13" s="1027"/>
      <c r="O13" s="1027"/>
      <c r="P13" s="1027"/>
      <c r="R13" s="1028"/>
    </row>
    <row r="14" spans="1:26">
      <c r="B14" s="1003" t="s">
        <v>813</v>
      </c>
      <c r="D14" s="995">
        <v>10</v>
      </c>
    </row>
  </sheetData>
  <mergeCells count="30">
    <mergeCell ref="W6:W9"/>
    <mergeCell ref="L7:L9"/>
    <mergeCell ref="M7:M9"/>
    <mergeCell ref="N7:N9"/>
    <mergeCell ref="O7:O9"/>
    <mergeCell ref="P7:P9"/>
    <mergeCell ref="Q7:Q9"/>
    <mergeCell ref="R7:R9"/>
    <mergeCell ref="S7:S9"/>
    <mergeCell ref="T7:T9"/>
    <mergeCell ref="U7:U9"/>
    <mergeCell ref="V7:V9"/>
    <mergeCell ref="L6:P6"/>
    <mergeCell ref="Q6:V6"/>
    <mergeCell ref="K6:K9"/>
    <mergeCell ref="A1:P1"/>
    <mergeCell ref="Q1:W1"/>
    <mergeCell ref="A2:P2"/>
    <mergeCell ref="Q2:W2"/>
    <mergeCell ref="A4:W4"/>
    <mergeCell ref="A6:A9"/>
    <mergeCell ref="B6:B9"/>
    <mergeCell ref="C6:C9"/>
    <mergeCell ref="D6:D9"/>
    <mergeCell ref="E6:E9"/>
    <mergeCell ref="F6:F9"/>
    <mergeCell ref="G6:G9"/>
    <mergeCell ref="H6:H9"/>
    <mergeCell ref="I6:I9"/>
    <mergeCell ref="J6:J9"/>
  </mergeCells>
  <printOptions horizontalCentered="1"/>
  <pageMargins left="0.25" right="0.25" top="0.5" bottom="0.5" header="0.31496062992126" footer="0.31496062992126"/>
  <pageSetup paperSize="9" scale="95" orientation="landscape" r:id="rId1"/>
  <headerFooter alignWithMargins="0">
    <oddFooter>&amp;R&amp;P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A5" sqref="A5"/>
    </sheetView>
  </sheetViews>
  <sheetFormatPr defaultColWidth="8.875" defaultRowHeight="15.75"/>
  <cols>
    <col min="1" max="1" width="6.75" style="426" customWidth="1"/>
    <col min="2" max="2" width="27.375" style="425" customWidth="1"/>
    <col min="3" max="3" width="6.375" style="422" customWidth="1"/>
    <col min="4" max="4" width="11.375" style="422" bestFit="1" customWidth="1"/>
    <col min="5" max="5" width="8.375" style="422" hidden="1" customWidth="1"/>
    <col min="6" max="6" width="13.125" style="422" customWidth="1"/>
    <col min="7" max="7" width="11.875" style="422" bestFit="1" customWidth="1"/>
    <col min="8" max="8" width="13.25" style="422" customWidth="1"/>
    <col min="9" max="9" width="10.625" style="424" customWidth="1"/>
    <col min="10" max="10" width="8.875" style="423" customWidth="1"/>
    <col min="11" max="11" width="8.375" style="422" customWidth="1"/>
    <col min="12" max="12" width="9.375" style="423" customWidth="1"/>
    <col min="13" max="13" width="9" style="422" customWidth="1"/>
    <col min="14" max="14" width="12.25" style="422" bestFit="1" customWidth="1"/>
    <col min="15" max="16384" width="8.875" style="422"/>
  </cols>
  <sheetData>
    <row r="1" spans="1:14" ht="21.75" customHeight="1">
      <c r="A1" s="1934" t="s">
        <v>788</v>
      </c>
      <c r="B1" s="1934"/>
      <c r="C1" s="1934"/>
      <c r="D1" s="1934"/>
      <c r="E1" s="1934"/>
      <c r="F1" s="1934"/>
      <c r="G1" s="1934"/>
      <c r="H1" s="1934"/>
      <c r="I1" s="1934"/>
      <c r="J1" s="1934"/>
      <c r="K1" s="1934"/>
      <c r="L1" s="1934"/>
      <c r="M1" s="1934"/>
    </row>
    <row r="2" spans="1:14" ht="26.25" customHeight="1">
      <c r="A2" s="1891"/>
      <c r="B2" s="1892"/>
      <c r="C2" s="1892"/>
      <c r="D2" s="1892"/>
      <c r="E2" s="1892"/>
      <c r="F2" s="1892"/>
      <c r="G2" s="1893"/>
      <c r="H2" s="433"/>
      <c r="I2" s="433"/>
      <c r="J2" s="1935" t="s">
        <v>265</v>
      </c>
      <c r="K2" s="1935"/>
      <c r="L2" s="1935"/>
      <c r="M2" s="1935"/>
    </row>
    <row r="3" spans="1:14" s="431" customFormat="1" ht="21.95" customHeight="1">
      <c r="A3" s="1878" t="s">
        <v>264</v>
      </c>
      <c r="B3" s="1878" t="s">
        <v>263</v>
      </c>
      <c r="C3" s="1878" t="s">
        <v>262</v>
      </c>
      <c r="D3" s="1878" t="s">
        <v>261</v>
      </c>
      <c r="E3" s="1878" t="s">
        <v>260</v>
      </c>
      <c r="F3" s="1879" t="s">
        <v>259</v>
      </c>
      <c r="G3" s="1879" t="s">
        <v>258</v>
      </c>
      <c r="H3" s="1895" t="s">
        <v>257</v>
      </c>
      <c r="I3" s="1895"/>
      <c r="J3" s="1878" t="s">
        <v>256</v>
      </c>
      <c r="K3" s="1879" t="s">
        <v>255</v>
      </c>
      <c r="L3" s="1879" t="s">
        <v>254</v>
      </c>
      <c r="M3" s="1879" t="s">
        <v>253</v>
      </c>
    </row>
    <row r="4" spans="1:14" s="431" customFormat="1" ht="37.5" customHeight="1">
      <c r="A4" s="1878"/>
      <c r="B4" s="1878" t="s">
        <v>249</v>
      </c>
      <c r="C4" s="1878" t="s">
        <v>252</v>
      </c>
      <c r="D4" s="1878"/>
      <c r="E4" s="1878"/>
      <c r="F4" s="1879"/>
      <c r="G4" s="1879"/>
      <c r="H4" s="432" t="s">
        <v>251</v>
      </c>
      <c r="I4" s="432" t="s">
        <v>250</v>
      </c>
      <c r="J4" s="1878"/>
      <c r="K4" s="1879"/>
      <c r="L4" s="1879" t="s">
        <v>249</v>
      </c>
      <c r="M4" s="1879" t="s">
        <v>249</v>
      </c>
    </row>
    <row r="5" spans="1:14" s="1061" customFormat="1">
      <c r="A5" s="1067" t="e">
        <f>#REF!</f>
        <v>#REF!</v>
      </c>
      <c r="B5" s="1068" t="e">
        <f>#REF!</f>
        <v>#REF!</v>
      </c>
      <c r="C5" s="1067"/>
      <c r="D5" s="1069"/>
      <c r="E5" s="1070"/>
      <c r="F5" s="1069"/>
      <c r="G5" s="1069"/>
      <c r="H5" s="1069"/>
      <c r="I5" s="1069"/>
      <c r="J5" s="1071"/>
      <c r="K5" s="1070"/>
      <c r="L5" s="1072"/>
      <c r="M5" s="1073"/>
    </row>
    <row r="6" spans="1:14" s="1061" customFormat="1">
      <c r="A6" s="1067" t="s">
        <v>156</v>
      </c>
      <c r="B6" s="1068" t="e">
        <f>#REF!</f>
        <v>#REF!</v>
      </c>
      <c r="C6" s="1067" t="s">
        <v>176</v>
      </c>
      <c r="D6" s="1070" t="e">
        <f>#REF!</f>
        <v>#REF!</v>
      </c>
      <c r="E6" s="1070"/>
      <c r="F6" s="1069">
        <f>'Dụng cụ 17-&gt;75'!G15</f>
        <v>7484.9016730769235</v>
      </c>
      <c r="G6" s="1069">
        <f>'Vật liệu 17-&gt;75'!H17</f>
        <v>65858.8</v>
      </c>
      <c r="H6" s="1069" t="e">
        <f>'Thiet bi 17-&gt;75'!#REF!</f>
        <v>#REF!</v>
      </c>
      <c r="I6" s="1069" t="e">
        <f>'Thiet bi 17-&gt;75'!#REF!</f>
        <v>#REF!</v>
      </c>
      <c r="J6" s="1071" t="e">
        <f t="shared" ref="J6" si="0">SUM(D6:I6)</f>
        <v>#REF!</v>
      </c>
      <c r="K6" s="1070" t="e">
        <f t="shared" ref="K6" si="1">J6*0.15</f>
        <v>#REF!</v>
      </c>
      <c r="L6" s="1072" t="e">
        <f t="shared" ref="L6" si="2">J6+K6</f>
        <v>#REF!</v>
      </c>
      <c r="M6" s="1073" t="e">
        <f t="shared" ref="M6" si="3">L6-H6</f>
        <v>#REF!</v>
      </c>
    </row>
    <row r="7" spans="1:14" s="1061" customFormat="1">
      <c r="A7" s="1067" t="s">
        <v>157</v>
      </c>
      <c r="B7" s="1068" t="e">
        <f>#REF!</f>
        <v>#REF!</v>
      </c>
      <c r="C7" s="1067" t="s">
        <v>176</v>
      </c>
      <c r="D7" s="1070" t="e">
        <f>#REF!</f>
        <v>#REF!</v>
      </c>
      <c r="E7" s="1070"/>
      <c r="F7" s="1069">
        <f>'Dụng cụ 17-&gt;75'!G16</f>
        <v>7484.9016730769235</v>
      </c>
      <c r="G7" s="1069">
        <f>'Vật liệu 17-&gt;75'!H18</f>
        <v>65858.8</v>
      </c>
      <c r="H7" s="1069" t="e">
        <f>'Thiet bi 17-&gt;75'!#REF!</f>
        <v>#REF!</v>
      </c>
      <c r="I7" s="1069" t="e">
        <f>'Thiet bi 17-&gt;75'!#REF!</f>
        <v>#REF!</v>
      </c>
      <c r="J7" s="1071" t="e">
        <f t="shared" ref="J7:J14" si="4">SUM(D7:I7)</f>
        <v>#REF!</v>
      </c>
      <c r="K7" s="1070" t="e">
        <f t="shared" ref="K7:K14" si="5">J7*0.15</f>
        <v>#REF!</v>
      </c>
      <c r="L7" s="1072" t="e">
        <f t="shared" ref="L7:L14" si="6">J7+K7</f>
        <v>#REF!</v>
      </c>
      <c r="M7" s="1073" t="e">
        <f t="shared" ref="M7:M14" si="7">L7-H7</f>
        <v>#REF!</v>
      </c>
    </row>
    <row r="8" spans="1:14" s="1061" customFormat="1">
      <c r="A8" s="1067" t="s">
        <v>727</v>
      </c>
      <c r="B8" s="1068" t="e">
        <f>#REF!</f>
        <v>#REF!</v>
      </c>
      <c r="C8" s="1067" t="s">
        <v>176</v>
      </c>
      <c r="D8" s="1070" t="e">
        <f>#REF!</f>
        <v>#REF!</v>
      </c>
      <c r="E8" s="1070"/>
      <c r="F8" s="1069" t="e">
        <f>'Dụng cụ 17-&gt;75'!#REF!</f>
        <v>#REF!</v>
      </c>
      <c r="G8" s="1069" t="e">
        <f>'Vật liệu 17-&gt;75'!#REF!</f>
        <v>#REF!</v>
      </c>
      <c r="H8" s="1069" t="e">
        <f>'Thiet bi 17-&gt;75'!#REF!</f>
        <v>#REF!</v>
      </c>
      <c r="I8" s="1069" t="e">
        <f>'Thiet bi 17-&gt;75'!#REF!</f>
        <v>#REF!</v>
      </c>
      <c r="J8" s="1071" t="e">
        <f t="shared" si="4"/>
        <v>#REF!</v>
      </c>
      <c r="K8" s="1070" t="e">
        <f t="shared" si="5"/>
        <v>#REF!</v>
      </c>
      <c r="L8" s="1072" t="e">
        <f t="shared" si="6"/>
        <v>#REF!</v>
      </c>
      <c r="M8" s="1073" t="e">
        <f t="shared" si="7"/>
        <v>#REF!</v>
      </c>
    </row>
    <row r="9" spans="1:14" s="1061" customFormat="1" ht="37.5" customHeight="1">
      <c r="A9" s="1067" t="e">
        <f>#REF!</f>
        <v>#REF!</v>
      </c>
      <c r="B9" s="1068" t="e">
        <f>#REF!</f>
        <v>#REF!</v>
      </c>
      <c r="C9" s="1067" t="s">
        <v>1</v>
      </c>
      <c r="D9" s="1069" t="e">
        <f>#REF!</f>
        <v>#REF!</v>
      </c>
      <c r="E9" s="1070"/>
      <c r="F9" s="1069">
        <f>'Dụng cụ 17-&gt;75'!G17</f>
        <v>0</v>
      </c>
      <c r="G9" s="1069">
        <f>'Vật liệu 17-&gt;75'!H19</f>
        <v>0</v>
      </c>
      <c r="H9" s="1069" t="e">
        <f>'Thiet bi 17-&gt;75'!#REF!</f>
        <v>#REF!</v>
      </c>
      <c r="I9" s="1069" t="e">
        <f>'Thiet bi 17-&gt;75'!#REF!</f>
        <v>#REF!</v>
      </c>
      <c r="J9" s="1071" t="e">
        <f t="shared" si="4"/>
        <v>#REF!</v>
      </c>
      <c r="K9" s="1070" t="e">
        <f t="shared" si="5"/>
        <v>#REF!</v>
      </c>
      <c r="L9" s="1072" t="e">
        <f t="shared" si="6"/>
        <v>#REF!</v>
      </c>
      <c r="M9" s="1073" t="e">
        <f t="shared" si="7"/>
        <v>#REF!</v>
      </c>
    </row>
    <row r="10" spans="1:14" s="1061" customFormat="1">
      <c r="A10" s="1067" t="e">
        <f>#REF!</f>
        <v>#REF!</v>
      </c>
      <c r="B10" s="1068" t="e">
        <f>#REF!</f>
        <v>#REF!</v>
      </c>
      <c r="C10" s="1067"/>
      <c r="D10" s="1069"/>
      <c r="E10" s="1070"/>
      <c r="F10" s="1069"/>
      <c r="G10" s="1069"/>
      <c r="H10" s="1069"/>
      <c r="I10" s="1069"/>
      <c r="J10" s="1071"/>
      <c r="K10" s="1070"/>
      <c r="L10" s="1072"/>
      <c r="M10" s="1073"/>
    </row>
    <row r="11" spans="1:14" s="1061" customFormat="1" ht="55.5" customHeight="1">
      <c r="A11" s="1067" t="s">
        <v>120</v>
      </c>
      <c r="B11" s="1068" t="e">
        <f>#REF!</f>
        <v>#REF!</v>
      </c>
      <c r="C11" s="1067" t="s">
        <v>176</v>
      </c>
      <c r="D11" s="1069" t="e">
        <f>#REF!</f>
        <v>#REF!</v>
      </c>
      <c r="E11" s="1070"/>
      <c r="F11" s="1069" t="e">
        <f>'Dụng cụ 17-&gt;75'!#REF!</f>
        <v>#REF!</v>
      </c>
      <c r="G11" s="1069" t="e">
        <f>'Vật liệu 17-&gt;75'!#REF!</f>
        <v>#REF!</v>
      </c>
      <c r="H11" s="1069" t="e">
        <f>'Thiet bi 17-&gt;75'!#REF!</f>
        <v>#REF!</v>
      </c>
      <c r="I11" s="1069" t="e">
        <f>'Thiet bi 17-&gt;75'!#REF!</f>
        <v>#REF!</v>
      </c>
      <c r="J11" s="1071" t="e">
        <f t="shared" si="4"/>
        <v>#REF!</v>
      </c>
      <c r="K11" s="1070" t="e">
        <f t="shared" si="5"/>
        <v>#REF!</v>
      </c>
      <c r="L11" s="1072" t="e">
        <f t="shared" si="6"/>
        <v>#REF!</v>
      </c>
      <c r="M11" s="1073" t="e">
        <f t="shared" si="7"/>
        <v>#REF!</v>
      </c>
    </row>
    <row r="12" spans="1:14" s="1061" customFormat="1">
      <c r="A12" s="1067" t="s">
        <v>155</v>
      </c>
      <c r="B12" s="1068" t="s">
        <v>790</v>
      </c>
      <c r="C12" s="1067" t="s">
        <v>1</v>
      </c>
      <c r="D12" s="1069" t="e">
        <f>#REF!+#REF!</f>
        <v>#REF!</v>
      </c>
      <c r="E12" s="1070"/>
      <c r="F12" s="1069">
        <f>'Dụng cụ 17-&gt;75'!G19</f>
        <v>0.74849016730769236</v>
      </c>
      <c r="G12" s="1069">
        <f>'Vật liệu 17-&gt;75'!H21</f>
        <v>6.5858800000000004</v>
      </c>
      <c r="H12" s="1069" t="e">
        <f>'Thiet bi 17-&gt;75'!#REF!</f>
        <v>#REF!</v>
      </c>
      <c r="I12" s="1069" t="e">
        <f>'Thiet bi 17-&gt;75'!#REF!</f>
        <v>#REF!</v>
      </c>
      <c r="J12" s="1071" t="e">
        <f t="shared" si="4"/>
        <v>#REF!</v>
      </c>
      <c r="K12" s="1070" t="e">
        <f t="shared" si="5"/>
        <v>#REF!</v>
      </c>
      <c r="L12" s="1072" t="e">
        <f t="shared" si="6"/>
        <v>#REF!</v>
      </c>
      <c r="M12" s="1073" t="e">
        <f t="shared" si="7"/>
        <v>#REF!</v>
      </c>
    </row>
    <row r="13" spans="1:14" s="1061" customFormat="1">
      <c r="A13" s="1067" t="e">
        <f>#REF!</f>
        <v>#REF!</v>
      </c>
      <c r="B13" s="1068" t="e">
        <f>#REF!</f>
        <v>#REF!</v>
      </c>
      <c r="C13" s="1067" t="e">
        <f>#REF!</f>
        <v>#REF!</v>
      </c>
      <c r="D13" s="1069" t="e">
        <f>#REF!</f>
        <v>#REF!</v>
      </c>
      <c r="E13" s="1074"/>
      <c r="F13" s="1069">
        <f>'Dụng cụ 17-&gt;75'!G20</f>
        <v>0.74849016730769236</v>
      </c>
      <c r="G13" s="1069">
        <f>'Vật liệu 17-&gt;75'!H22</f>
        <v>6.5858800000000004</v>
      </c>
      <c r="H13" s="1069" t="e">
        <f>'Thiet bi 17-&gt;75'!#REF!</f>
        <v>#REF!</v>
      </c>
      <c r="I13" s="1069" t="e">
        <f>'Thiet bi 17-&gt;75'!#REF!</f>
        <v>#REF!</v>
      </c>
      <c r="J13" s="1071" t="e">
        <f t="shared" si="4"/>
        <v>#REF!</v>
      </c>
      <c r="K13" s="1070" t="e">
        <f t="shared" si="5"/>
        <v>#REF!</v>
      </c>
      <c r="L13" s="1072" t="e">
        <f t="shared" si="6"/>
        <v>#REF!</v>
      </c>
      <c r="M13" s="1073" t="e">
        <f t="shared" si="7"/>
        <v>#REF!</v>
      </c>
    </row>
    <row r="14" spans="1:14" s="1061" customFormat="1">
      <c r="A14" s="1067" t="e">
        <f>#REF!</f>
        <v>#REF!</v>
      </c>
      <c r="B14" s="1068" t="e">
        <f>#REF!</f>
        <v>#REF!</v>
      </c>
      <c r="C14" s="1067" t="s">
        <v>1</v>
      </c>
      <c r="D14" s="1069" t="e">
        <f>#REF!</f>
        <v>#REF!</v>
      </c>
      <c r="E14" s="1074"/>
      <c r="F14" s="1069">
        <f>'Dụng cụ 17-&gt;75'!G21</f>
        <v>0.2523978471153846</v>
      </c>
      <c r="G14" s="1069">
        <f>'Vật liệu 17-&gt;75'!H23</f>
        <v>2.2208200000000002</v>
      </c>
      <c r="H14" s="1069" t="e">
        <f>'Thiet bi 17-&gt;75'!#REF!</f>
        <v>#REF!</v>
      </c>
      <c r="I14" s="1069" t="e">
        <f>'Thiet bi 17-&gt;75'!#REF!</f>
        <v>#REF!</v>
      </c>
      <c r="J14" s="1071" t="e">
        <f t="shared" si="4"/>
        <v>#REF!</v>
      </c>
      <c r="K14" s="1070" t="e">
        <f t="shared" si="5"/>
        <v>#REF!</v>
      </c>
      <c r="L14" s="1072" t="e">
        <f t="shared" si="6"/>
        <v>#REF!</v>
      </c>
      <c r="M14" s="1073" t="e">
        <f t="shared" si="7"/>
        <v>#REF!</v>
      </c>
      <c r="N14" s="1062"/>
    </row>
    <row r="15" spans="1:14" s="1061" customFormat="1">
      <c r="A15" s="1063"/>
      <c r="B15" s="1064"/>
      <c r="I15" s="1065"/>
      <c r="J15" s="1066"/>
      <c r="L15" s="1066"/>
    </row>
    <row r="16" spans="1:14" s="1061" customFormat="1">
      <c r="A16" s="1063"/>
      <c r="B16" s="1064"/>
      <c r="I16" s="1065"/>
      <c r="J16" s="1066"/>
      <c r="L16" s="1066"/>
    </row>
    <row r="17" spans="1:12" s="1061" customFormat="1">
      <c r="A17" s="1063"/>
      <c r="B17" s="1064"/>
      <c r="I17" s="1065"/>
      <c r="J17" s="1066"/>
      <c r="L17" s="1066"/>
    </row>
    <row r="18" spans="1:12" s="1061" customFormat="1">
      <c r="A18" s="1063"/>
      <c r="B18" s="1064"/>
      <c r="I18" s="1065"/>
      <c r="J18" s="1066"/>
      <c r="L18" s="1066"/>
    </row>
    <row r="19" spans="1:12" s="1061" customFormat="1">
      <c r="A19" s="1063"/>
      <c r="B19" s="1064"/>
      <c r="I19" s="1065"/>
      <c r="J19" s="1066"/>
      <c r="L19" s="1066"/>
    </row>
    <row r="20" spans="1:12" s="1061" customFormat="1">
      <c r="A20" s="1063"/>
      <c r="B20" s="1064"/>
      <c r="I20" s="1065"/>
      <c r="J20" s="1066"/>
      <c r="L20" s="1066"/>
    </row>
    <row r="21" spans="1:12" s="1061" customFormat="1">
      <c r="A21" s="1063"/>
      <c r="B21" s="1064"/>
      <c r="I21" s="1065"/>
      <c r="J21" s="1066"/>
      <c r="L21" s="1066"/>
    </row>
    <row r="22" spans="1:12" s="1061" customFormat="1">
      <c r="A22" s="1063"/>
      <c r="B22" s="1064"/>
      <c r="I22" s="1065"/>
      <c r="J22" s="1066"/>
      <c r="L22" s="1066"/>
    </row>
    <row r="23" spans="1:12" s="1061" customFormat="1">
      <c r="A23" s="1063"/>
      <c r="B23" s="1064"/>
      <c r="I23" s="1065"/>
      <c r="J23" s="1066"/>
      <c r="L23" s="1066"/>
    </row>
  </sheetData>
  <mergeCells count="15">
    <mergeCell ref="A1:M1"/>
    <mergeCell ref="A2:G2"/>
    <mergeCell ref="J2:M2"/>
    <mergeCell ref="A3:A4"/>
    <mergeCell ref="B3:B4"/>
    <mergeCell ref="C3:C4"/>
    <mergeCell ref="D3:D4"/>
    <mergeCell ref="E3:E4"/>
    <mergeCell ref="F3:F4"/>
    <mergeCell ref="G3:G4"/>
    <mergeCell ref="H3:I3"/>
    <mergeCell ref="J3:J4"/>
    <mergeCell ref="K3:K4"/>
    <mergeCell ref="L3:L4"/>
    <mergeCell ref="M3:M4"/>
  </mergeCells>
  <pageMargins left="0.5" right="0" top="0.7" bottom="0.45" header="0.5" footer="0.25"/>
  <pageSetup paperSize="9" orientation="landscape" horizontalDpi="1200" verticalDpi="1200"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27"/>
  <sheetViews>
    <sheetView zoomScale="85" zoomScaleNormal="85" workbookViewId="0">
      <pane ySplit="4" topLeftCell="A23" activePane="bottomLeft" state="frozen"/>
      <selection activeCell="H8" sqref="H8"/>
      <selection pane="bottomLeft" activeCell="H8" sqref="H8"/>
    </sheetView>
  </sheetViews>
  <sheetFormatPr defaultColWidth="8.875" defaultRowHeight="15.75"/>
  <cols>
    <col min="1" max="1" width="6.75" style="1332" customWidth="1"/>
    <col min="2" max="2" width="37.375" style="1333" customWidth="1"/>
    <col min="3" max="3" width="8" style="1314" customWidth="1"/>
    <col min="4" max="4" width="12.375" style="1314" bestFit="1" customWidth="1"/>
    <col min="5" max="5" width="8.375" style="1314" hidden="1" customWidth="1"/>
    <col min="6" max="6" width="13.125" style="1314" customWidth="1"/>
    <col min="7" max="7" width="14.75" style="1314" customWidth="1"/>
    <col min="8" max="8" width="13.25" style="1314" customWidth="1"/>
    <col min="9" max="9" width="12.75" style="1334" customWidth="1"/>
    <col min="10" max="10" width="11.875" style="1335" customWidth="1"/>
    <col min="11" max="11" width="10.375" style="1314" customWidth="1"/>
    <col min="12" max="12" width="12.25" style="1335" customWidth="1"/>
    <col min="13" max="13" width="15.875" style="1314" customWidth="1"/>
    <col min="14" max="14" width="12.25" style="1314" bestFit="1" customWidth="1"/>
    <col min="15" max="16384" width="8.875" style="1314"/>
  </cols>
  <sheetData>
    <row r="1" spans="1:13" ht="18.75">
      <c r="A1" s="1988" t="s">
        <v>788</v>
      </c>
      <c r="B1" s="1988"/>
      <c r="C1" s="1988"/>
      <c r="D1" s="1988"/>
      <c r="E1" s="1988"/>
      <c r="F1" s="1988"/>
      <c r="G1" s="1988"/>
      <c r="H1" s="1988"/>
      <c r="I1" s="1988"/>
      <c r="J1" s="1988"/>
      <c r="K1" s="1988"/>
      <c r="L1" s="1988"/>
      <c r="M1" s="1988"/>
    </row>
    <row r="2" spans="1:13">
      <c r="A2" s="1989"/>
      <c r="B2" s="1990"/>
      <c r="C2" s="1990"/>
      <c r="D2" s="1990"/>
      <c r="E2" s="1990"/>
      <c r="F2" s="1990"/>
      <c r="G2" s="1991"/>
      <c r="H2" s="1315"/>
      <c r="I2" s="1315"/>
      <c r="J2" s="1992" t="s">
        <v>265</v>
      </c>
      <c r="K2" s="1992"/>
      <c r="L2" s="1992"/>
      <c r="M2" s="1992"/>
    </row>
    <row r="3" spans="1:13" s="1316" customFormat="1">
      <c r="A3" s="1993" t="s">
        <v>264</v>
      </c>
      <c r="B3" s="1993" t="s">
        <v>263</v>
      </c>
      <c r="C3" s="1993" t="s">
        <v>262</v>
      </c>
      <c r="D3" s="1993" t="s">
        <v>261</v>
      </c>
      <c r="E3" s="1993" t="s">
        <v>260</v>
      </c>
      <c r="F3" s="1994" t="s">
        <v>259</v>
      </c>
      <c r="G3" s="1994" t="s">
        <v>258</v>
      </c>
      <c r="H3" s="1995" t="s">
        <v>257</v>
      </c>
      <c r="I3" s="1995"/>
      <c r="J3" s="1993" t="s">
        <v>256</v>
      </c>
      <c r="K3" s="1994" t="s">
        <v>255</v>
      </c>
      <c r="L3" s="1994" t="s">
        <v>254</v>
      </c>
      <c r="M3" s="1994" t="s">
        <v>253</v>
      </c>
    </row>
    <row r="4" spans="1:13" s="1316" customFormat="1">
      <c r="A4" s="1993"/>
      <c r="B4" s="1993" t="s">
        <v>249</v>
      </c>
      <c r="C4" s="1993" t="s">
        <v>252</v>
      </c>
      <c r="D4" s="1993"/>
      <c r="E4" s="1993"/>
      <c r="F4" s="1994"/>
      <c r="G4" s="1994"/>
      <c r="H4" s="1317" t="s">
        <v>251</v>
      </c>
      <c r="I4" s="1317" t="s">
        <v>250</v>
      </c>
      <c r="J4" s="1993"/>
      <c r="K4" s="1994"/>
      <c r="L4" s="1994" t="s">
        <v>249</v>
      </c>
      <c r="M4" s="1994" t="s">
        <v>249</v>
      </c>
    </row>
    <row r="5" spans="1:13" s="1321" customFormat="1">
      <c r="A5" s="1318">
        <f>'Nhân công 17-&gt;75'!A3</f>
        <v>1</v>
      </c>
      <c r="B5" s="1319" t="str">
        <f>'Nhân công 17-&gt;75'!B3</f>
        <v>Công tác chuẩn bị</v>
      </c>
      <c r="C5" s="1318"/>
      <c r="D5" s="1339">
        <f>D6+D7</f>
        <v>5.9999999999999995E-4</v>
      </c>
      <c r="E5" s="1339">
        <f t="shared" ref="E5:M5" si="0">E6+E7</f>
        <v>0</v>
      </c>
      <c r="F5" s="1339">
        <f t="shared" si="0"/>
        <v>1.4969803346153847</v>
      </c>
      <c r="G5" s="1339">
        <f t="shared" si="0"/>
        <v>13.171760000000001</v>
      </c>
      <c r="H5" s="1339">
        <f t="shared" si="0"/>
        <v>2.04</v>
      </c>
      <c r="I5" s="1339">
        <f t="shared" si="0"/>
        <v>3.7766399999999996</v>
      </c>
      <c r="J5" s="1339">
        <f t="shared" si="0"/>
        <v>20.485980334615387</v>
      </c>
      <c r="K5" s="1339">
        <f t="shared" si="0"/>
        <v>3.0728970501923079</v>
      </c>
      <c r="L5" s="1339">
        <f t="shared" si="0"/>
        <v>23.558877384807694</v>
      </c>
      <c r="M5" s="1339">
        <f t="shared" si="0"/>
        <v>21.518877384807695</v>
      </c>
    </row>
    <row r="6" spans="1:13" s="1321" customFormat="1" ht="94.5">
      <c r="A6" s="1336" t="str">
        <f>'Nhân công 17-&gt;75'!A4</f>
        <v>1.1</v>
      </c>
      <c r="B6" s="1337" t="str">
        <f>'Nhân công 17-&gt;75'!B4</f>
        <v>Lập kế hoạch thi công chi tiết: Xác định thời gian, địa điểm, khối lượng và nhân lực thực hiện của từng bước công việc; lập kế hoạch làm việc với các đơn vị có liên quan đến công tác chuyển đổi, bổ sung, hoàn thiện CSDL địa chính trên địa bàn thi công</v>
      </c>
      <c r="C6" s="1336" t="str">
        <f>'Nhân công 17-&gt;75'!C4</f>
        <v>Thửa</v>
      </c>
      <c r="D6" s="1338">
        <f>'Nhân công 17-&gt;75'!E4</f>
        <v>2.9999999999999997E-4</v>
      </c>
      <c r="E6" s="1322"/>
      <c r="F6" s="1323">
        <f>'Dụng cụ 17-&gt;75'!F15</f>
        <v>0.74849016730769236</v>
      </c>
      <c r="G6" s="1323">
        <f>'Vật liệu 17-&gt;75'!G17</f>
        <v>6.5858800000000004</v>
      </c>
      <c r="H6" s="1323">
        <f>'Thiet bi 17-&gt;75'!J5</f>
        <v>1.02</v>
      </c>
      <c r="I6" s="1323">
        <f>'Thiet bi 17-&gt;75'!K8</f>
        <v>1.8883199999999998</v>
      </c>
      <c r="J6" s="1324">
        <f t="shared" ref="J6" si="1">SUM(D6:I6)</f>
        <v>10.242990167307694</v>
      </c>
      <c r="K6" s="1322">
        <f t="shared" ref="K6" si="2">J6*0.15</f>
        <v>1.5364485250961539</v>
      </c>
      <c r="L6" s="1325">
        <f t="shared" ref="L6" si="3">J6+K6</f>
        <v>11.779438692403847</v>
      </c>
      <c r="M6" s="1324">
        <f t="shared" ref="M6" si="4">L6-H6</f>
        <v>10.759438692403847</v>
      </c>
    </row>
    <row r="7" spans="1:13" s="1321" customFormat="1" ht="63">
      <c r="A7" s="1336" t="str">
        <f>'Nhân công 17-&gt;75'!A5</f>
        <v>1.2</v>
      </c>
      <c r="B7" s="1337" t="str">
        <f>'Nhân công 17-&gt;75'!B5</f>
        <v>Chuẩn bị nhân lực, địa điểm làm việc; chuẩn bị vật tư, thiết bị, dụng cụ, cài đặt phần mềm phục vụ cho công tác chuyển đổi, bổ sung, hoàn thiện CSDL địa chính</v>
      </c>
      <c r="C7" s="1336" t="str">
        <f>'Nhân công 17-&gt;75'!C5</f>
        <v>Thửa</v>
      </c>
      <c r="D7" s="1338">
        <f>'Nhân công 17-&gt;75'!E5</f>
        <v>2.9999999999999997E-4</v>
      </c>
      <c r="E7" s="1322"/>
      <c r="F7" s="1323">
        <f>'Dụng cụ 17-&gt;75'!F16</f>
        <v>0.74849016730769236</v>
      </c>
      <c r="G7" s="1323">
        <f>'Vật liệu 17-&gt;75'!G18</f>
        <v>6.5858800000000004</v>
      </c>
      <c r="H7" s="1323">
        <f>'Thiet bi 17-&gt;75'!J9</f>
        <v>1.02</v>
      </c>
      <c r="I7" s="1323">
        <f>'Thiet bi 17-&gt;75'!K12</f>
        <v>1.8883199999999998</v>
      </c>
      <c r="J7" s="1324">
        <f t="shared" ref="J7:J26" si="5">SUM(D7:I7)</f>
        <v>10.242990167307694</v>
      </c>
      <c r="K7" s="1322">
        <f t="shared" ref="K7:K26" si="6">J7*0.15</f>
        <v>1.5364485250961539</v>
      </c>
      <c r="L7" s="1325">
        <f t="shared" ref="L7:L26" si="7">J7+K7</f>
        <v>11.779438692403847</v>
      </c>
      <c r="M7" s="1324">
        <f t="shared" ref="M7:M26" si="8">L7-H7</f>
        <v>10.759438692403847</v>
      </c>
    </row>
    <row r="8" spans="1:13" s="1321" customFormat="1">
      <c r="A8" s="1318">
        <f>'Nhân công 17-&gt;75'!A6</f>
        <v>2</v>
      </c>
      <c r="B8" s="1319" t="str">
        <f>'Nhân công 17-&gt;75'!B6</f>
        <v>Chuyển đổi dữ liệu địa chính</v>
      </c>
      <c r="C8" s="1318"/>
      <c r="D8" s="1339">
        <f>SUM(D9:D12)</f>
        <v>1.6999999999999999E-3</v>
      </c>
      <c r="E8" s="1339">
        <f t="shared" ref="E8:M8" si="9">SUM(E9:E12)</f>
        <v>0</v>
      </c>
      <c r="F8" s="1339">
        <f t="shared" si="9"/>
        <v>4.2472465307692309</v>
      </c>
      <c r="G8" s="1339">
        <f t="shared" si="9"/>
        <v>37.371040000000008</v>
      </c>
      <c r="H8" s="1339">
        <f t="shared" si="9"/>
        <v>12.556571999999999</v>
      </c>
      <c r="I8" s="1339">
        <f t="shared" si="9"/>
        <v>12.328032</v>
      </c>
      <c r="J8" s="1339">
        <f t="shared" si="9"/>
        <v>66.504590530769235</v>
      </c>
      <c r="K8" s="1339">
        <f t="shared" si="9"/>
        <v>9.9756885796153849</v>
      </c>
      <c r="L8" s="1339">
        <f t="shared" si="9"/>
        <v>76.480279110384629</v>
      </c>
      <c r="M8" s="1339">
        <f t="shared" si="9"/>
        <v>63.923707110384612</v>
      </c>
    </row>
    <row r="9" spans="1:13" s="1321" customFormat="1" ht="47.25">
      <c r="A9" s="1336" t="str">
        <f>'Nhân công 17-&gt;75'!A7</f>
        <v>2.1</v>
      </c>
      <c r="B9" s="1337" t="str">
        <f>'Nhân công 17-&gt;75'!B7</f>
        <v>Lập mô hình chuyển đổi cấu trúc dữ liệu của CSDL địa chính đã xây dựng sang cấu trúc dữ liệu hiện hành</v>
      </c>
      <c r="C9" s="1336" t="str">
        <f>'Nhân công 17-&gt;75'!C7</f>
        <v>Thửa</v>
      </c>
      <c r="D9" s="1338">
        <f>'Nhân công 17-&gt;75'!E7</f>
        <v>1E-3</v>
      </c>
      <c r="E9" s="1322"/>
      <c r="F9" s="1323">
        <f>'Dụng cụ 17-&gt;75'!F18</f>
        <v>2.4978683490384617</v>
      </c>
      <c r="G9" s="1323">
        <f>'Vật liệu 17-&gt;75'!G20</f>
        <v>21.978460000000002</v>
      </c>
      <c r="H9" s="1323">
        <f>'Thiet bi 17-&gt;75'!J14</f>
        <v>3.4010000000000002</v>
      </c>
      <c r="I9" s="1323">
        <f>'Thiet bi 17-&gt;75'!K17</f>
        <v>6.2988960000000001</v>
      </c>
      <c r="J9" s="1324">
        <f t="shared" si="5"/>
        <v>34.177224349038461</v>
      </c>
      <c r="K9" s="1322">
        <f t="shared" si="6"/>
        <v>5.1265836523557686</v>
      </c>
      <c r="L9" s="1325">
        <f t="shared" si="7"/>
        <v>39.303808001394231</v>
      </c>
      <c r="M9" s="1324">
        <f t="shared" si="8"/>
        <v>35.902808001394227</v>
      </c>
    </row>
    <row r="10" spans="1:13" s="1321" customFormat="1" ht="31.5">
      <c r="A10" s="1336" t="str">
        <f>'Nhân công 17-&gt;75'!A8</f>
        <v>2.2</v>
      </c>
      <c r="B10" s="1337" t="str">
        <f>'Nhân công 17-&gt;75'!B8</f>
        <v>Chuyển đổi cấu trúc dữ liệu không gian địa chính</v>
      </c>
      <c r="C10" s="1336" t="str">
        <f>'Nhân công 17-&gt;75'!C8</f>
        <v>Thửa</v>
      </c>
      <c r="D10" s="1338">
        <f>'Nhân công 17-&gt;75'!E8</f>
        <v>2.9999999999999997E-4</v>
      </c>
      <c r="E10" s="1322"/>
      <c r="F10" s="1323">
        <f>'Dụng cụ 17-&gt;75'!F19</f>
        <v>0.74849016730769236</v>
      </c>
      <c r="G10" s="1323">
        <f>'Vật liệu 17-&gt;75'!G21</f>
        <v>6.5858800000000004</v>
      </c>
      <c r="H10" s="1323">
        <f>'Thiet bi 17-&gt;75'!J18</f>
        <v>6.2639999999999993</v>
      </c>
      <c r="I10" s="1323">
        <f>'Thiet bi 17-&gt;75'!K23</f>
        <v>2.6976</v>
      </c>
      <c r="J10" s="1324">
        <f t="shared" si="5"/>
        <v>16.296270167307693</v>
      </c>
      <c r="K10" s="1322">
        <f t="shared" si="6"/>
        <v>2.4444405250961538</v>
      </c>
      <c r="L10" s="1325">
        <f t="shared" si="7"/>
        <v>18.740710692403848</v>
      </c>
      <c r="M10" s="1324">
        <f t="shared" si="8"/>
        <v>12.476710692403849</v>
      </c>
    </row>
    <row r="11" spans="1:13" s="1321" customFormat="1">
      <c r="A11" s="1336" t="str">
        <f>'Nhân công 17-&gt;75'!A9</f>
        <v>2.3</v>
      </c>
      <c r="B11" s="1337" t="str">
        <f>'Nhân công 17-&gt;75'!B9</f>
        <v>Chuyển đổi cấu trúc dữ liệu thuộc tính địa chính</v>
      </c>
      <c r="C11" s="1336" t="str">
        <f>'Nhân công 17-&gt;75'!C9</f>
        <v>Thửa</v>
      </c>
      <c r="D11" s="1338">
        <f>'Nhân công 17-&gt;75'!E9</f>
        <v>2.9999999999999997E-4</v>
      </c>
      <c r="E11" s="1322"/>
      <c r="F11" s="1323">
        <f>'Dụng cụ 17-&gt;75'!F20</f>
        <v>0.74849016730769236</v>
      </c>
      <c r="G11" s="1323">
        <f>'Vật liệu 17-&gt;75'!G22</f>
        <v>6.5858800000000004</v>
      </c>
      <c r="H11" s="1323">
        <f>'Thiet bi 17-&gt;75'!J24</f>
        <v>2.230572</v>
      </c>
      <c r="I11" s="1323">
        <f>'Thiet bi 17-&gt;75'!K29</f>
        <v>2.6976</v>
      </c>
      <c r="J11" s="1324">
        <f t="shared" si="5"/>
        <v>12.262842167307692</v>
      </c>
      <c r="K11" s="1322">
        <f t="shared" si="6"/>
        <v>1.8394263250961538</v>
      </c>
      <c r="L11" s="1325">
        <f t="shared" si="7"/>
        <v>14.102268492403846</v>
      </c>
      <c r="M11" s="1324">
        <f t="shared" si="8"/>
        <v>11.871696492403846</v>
      </c>
    </row>
    <row r="12" spans="1:13" s="1321" customFormat="1">
      <c r="A12" s="1336" t="str">
        <f>'Nhân công 17-&gt;75'!A10</f>
        <v>2.4</v>
      </c>
      <c r="B12" s="1337" t="str">
        <f>'Nhân công 17-&gt;75'!B10</f>
        <v>Chuyển đổi cấu trúc dữ liệu hồ sơ quét</v>
      </c>
      <c r="C12" s="1336" t="str">
        <f>'Nhân công 17-&gt;75'!C10</f>
        <v>Thửa</v>
      </c>
      <c r="D12" s="1338">
        <f>'Nhân công 17-&gt;75'!E10</f>
        <v>1E-4</v>
      </c>
      <c r="E12" s="1322"/>
      <c r="F12" s="1323">
        <f>'Dụng cụ 17-&gt;75'!F21</f>
        <v>0.2523978471153846</v>
      </c>
      <c r="G12" s="1323">
        <f>'Vật liệu 17-&gt;75'!G23</f>
        <v>2.2208200000000002</v>
      </c>
      <c r="H12" s="1323">
        <f>'Thiet bi 17-&gt;75'!J30</f>
        <v>0.66100000000000003</v>
      </c>
      <c r="I12" s="1323">
        <f>'Thiet bi 17-&gt;75'!K34</f>
        <v>0.63393599999999994</v>
      </c>
      <c r="J12" s="1324">
        <f t="shared" si="5"/>
        <v>3.7682538471153846</v>
      </c>
      <c r="K12" s="1322">
        <f t="shared" si="6"/>
        <v>0.56523807706730766</v>
      </c>
      <c r="L12" s="1325">
        <f t="shared" si="7"/>
        <v>4.3334919241826926</v>
      </c>
      <c r="M12" s="1324">
        <f t="shared" si="8"/>
        <v>3.6724919241826925</v>
      </c>
    </row>
    <row r="13" spans="1:13" s="1321" customFormat="1">
      <c r="A13" s="1318">
        <f>'Nhân công 17-&gt;75'!A11</f>
        <v>3</v>
      </c>
      <c r="B13" s="1319" t="str">
        <f>'Nhân công 17-&gt;75'!B11</f>
        <v>Bổ sung, hoàn thiện dữ liệu địa chính</v>
      </c>
      <c r="C13" s="1318"/>
      <c r="D13" s="1339">
        <f>SUM(D14:D17)</f>
        <v>1.95E-2</v>
      </c>
      <c r="E13" s="1339">
        <f t="shared" ref="E13:M13" si="10">SUM(E14:E17)</f>
        <v>0</v>
      </c>
      <c r="F13" s="1339">
        <f t="shared" si="10"/>
        <v>48.643157500961543</v>
      </c>
      <c r="G13" s="1339">
        <f t="shared" si="10"/>
        <v>428.00562000000014</v>
      </c>
      <c r="H13" s="1339">
        <f t="shared" si="10"/>
        <v>155.33749939999998</v>
      </c>
      <c r="I13" s="1339">
        <f t="shared" si="10"/>
        <v>152.738112</v>
      </c>
      <c r="J13" s="1339">
        <f t="shared" si="10"/>
        <v>784.74388890096157</v>
      </c>
      <c r="K13" s="1339">
        <f t="shared" si="10"/>
        <v>117.71158333514424</v>
      </c>
      <c r="L13" s="1339">
        <f t="shared" si="10"/>
        <v>902.45547223610583</v>
      </c>
      <c r="M13" s="1339">
        <f t="shared" si="10"/>
        <v>747.11797283610588</v>
      </c>
    </row>
    <row r="14" spans="1:13" s="1321" customFormat="1">
      <c r="A14" s="1336" t="str">
        <f>'Nhân công 17-&gt;75'!A12</f>
        <v>3.1</v>
      </c>
      <c r="B14" s="1337" t="str">
        <f>'Nhân công 17-&gt;75'!B12</f>
        <v xml:space="preserve">Rà soát, bổ sung dữ liệu không gian địa chính </v>
      </c>
      <c r="C14" s="1336" t="str">
        <f>'Nhân công 17-&gt;75'!C12</f>
        <v>Thửa</v>
      </c>
      <c r="D14" s="1338">
        <f>'Nhân công 17-&gt;75'!E12</f>
        <v>1.2999999999999999E-3</v>
      </c>
      <c r="E14" s="1326"/>
      <c r="F14" s="1323">
        <f>'Dụng cụ 17-&gt;75'!F23</f>
        <v>3.2463585163461537</v>
      </c>
      <c r="G14" s="1323">
        <f>'Vật liệu 17-&gt;75'!G25</f>
        <v>28.564340000000001</v>
      </c>
      <c r="H14" s="1323">
        <f>'Thiet bi 17-&gt;75'!J36</f>
        <v>27.145</v>
      </c>
      <c r="I14" s="1322">
        <f>'Thiet bi 17-&gt;75'!K41</f>
        <v>11.694096</v>
      </c>
      <c r="J14" s="1324">
        <f t="shared" si="5"/>
        <v>70.651094516346149</v>
      </c>
      <c r="K14" s="1322">
        <f t="shared" si="6"/>
        <v>10.597664177451922</v>
      </c>
      <c r="L14" s="1325">
        <f t="shared" si="7"/>
        <v>81.248758693798067</v>
      </c>
      <c r="M14" s="1324">
        <f t="shared" si="8"/>
        <v>54.103758693798071</v>
      </c>
    </row>
    <row r="15" spans="1:13" s="1321" customFormat="1">
      <c r="A15" s="1336" t="str">
        <f>'Nhân công 17-&gt;75'!A13</f>
        <v>3.2</v>
      </c>
      <c r="B15" s="1337" t="str">
        <f>'Nhân công 17-&gt;75'!B13</f>
        <v>Rà soát, bổ sung dữ liệu thuộc tính địa chính</v>
      </c>
      <c r="C15" s="1336" t="str">
        <f>'Nhân công 17-&gt;75'!C13</f>
        <v>Thửa</v>
      </c>
      <c r="D15" s="1338">
        <f>'Nhân công 17-&gt;75'!E13</f>
        <v>1.37E-2</v>
      </c>
      <c r="E15" s="1326"/>
      <c r="F15" s="1323">
        <f>'Dụng cụ 17-&gt;75'!F24</f>
        <v>34.16074310096154</v>
      </c>
      <c r="G15" s="1323">
        <f>'Vật liệu 17-&gt;75'!G26</f>
        <v>300.57650000000007</v>
      </c>
      <c r="H15" s="1323">
        <f>'Thiet bi 17-&gt;75'!J42</f>
        <v>99.87825939999999</v>
      </c>
      <c r="I15" s="1322">
        <f>'Thiet bi 17-&gt;75'!K47</f>
        <v>123.06451200000001</v>
      </c>
      <c r="J15" s="1324">
        <f t="shared" si="5"/>
        <v>557.69371450096162</v>
      </c>
      <c r="K15" s="1322">
        <f t="shared" si="6"/>
        <v>83.654057175144246</v>
      </c>
      <c r="L15" s="1325">
        <f t="shared" si="7"/>
        <v>641.34777167610582</v>
      </c>
      <c r="M15" s="1324">
        <f t="shared" si="8"/>
        <v>541.46951227610589</v>
      </c>
    </row>
    <row r="16" spans="1:13" s="1321" customFormat="1" ht="31.5">
      <c r="A16" s="1336" t="str">
        <f>'Nhân công 17-&gt;75'!A14</f>
        <v>3.3</v>
      </c>
      <c r="B16" s="1337" t="str">
        <f>'Nhân công 17-&gt;75'!B14</f>
        <v>Thực hiện hoàn thiện 100% thông tin trong CSDL đã được chuyển đổi, bổ sung</v>
      </c>
      <c r="C16" s="1336" t="str">
        <f>'Nhân công 17-&gt;75'!C14</f>
        <v>Thửa</v>
      </c>
      <c r="D16" s="1338">
        <f>'Nhân công 17-&gt;75'!E14</f>
        <v>2E-3</v>
      </c>
      <c r="E16" s="1326"/>
      <c r="F16" s="1323">
        <f>'Dụng cụ 17-&gt;75'!F25</f>
        <v>4.9957366980769233</v>
      </c>
      <c r="G16" s="1323">
        <f>'Vật liệu 17-&gt;75'!G27</f>
        <v>43.956920000000004</v>
      </c>
      <c r="H16" s="1323">
        <f>'Thiet bi 17-&gt;75'!J48</f>
        <v>28.314240000000005</v>
      </c>
      <c r="I16" s="1323">
        <f>'Thiet bi 17-&gt;75'!K54</f>
        <v>17.979503999999999</v>
      </c>
      <c r="J16" s="1324">
        <f t="shared" si="5"/>
        <v>95.248400698076921</v>
      </c>
      <c r="K16" s="1322">
        <f t="shared" si="6"/>
        <v>14.287260104711537</v>
      </c>
      <c r="L16" s="1325">
        <f t="shared" si="7"/>
        <v>109.53566080278846</v>
      </c>
      <c r="M16" s="1324">
        <f t="shared" si="8"/>
        <v>81.221420802788458</v>
      </c>
    </row>
    <row r="17" spans="1:13" s="1321" customFormat="1" ht="31.5">
      <c r="A17" s="1336" t="str">
        <f>'Nhân công 17-&gt;75'!A15</f>
        <v>3.4</v>
      </c>
      <c r="B17" s="1337" t="str">
        <f>'Nhân công 17-&gt;75'!B15</f>
        <v>Thực hiện xuất Sổ địa chính (điện tử) đối với những thửa đất chưa có Sổ địa chính (điện tử)</v>
      </c>
      <c r="C17" s="1336" t="str">
        <f>'Nhân công 17-&gt;75'!C15</f>
        <v>Thửa</v>
      </c>
      <c r="D17" s="1338">
        <f>'Nhân công 17-&gt;75'!E15</f>
        <v>2.5000000000000001E-3</v>
      </c>
      <c r="E17" s="1320">
        <f t="shared" ref="E17" si="11">E18+E19+E20</f>
        <v>0</v>
      </c>
      <c r="F17" s="1323">
        <f>'Dụng cụ 17-&gt;75'!F26</f>
        <v>6.2403191855769231</v>
      </c>
      <c r="G17" s="1323">
        <f>'Vật liệu 17-&gt;75'!G28</f>
        <v>54.907860000000007</v>
      </c>
      <c r="H17" s="1320"/>
      <c r="I17" s="1320"/>
      <c r="J17" s="1324">
        <f t="shared" si="5"/>
        <v>61.150679185576934</v>
      </c>
      <c r="K17" s="1322">
        <f t="shared" si="6"/>
        <v>9.1726018778365397</v>
      </c>
      <c r="L17" s="1325">
        <f t="shared" si="7"/>
        <v>70.323281063413475</v>
      </c>
      <c r="M17" s="1324">
        <f t="shared" si="8"/>
        <v>70.323281063413475</v>
      </c>
    </row>
    <row r="18" spans="1:13" s="1321" customFormat="1">
      <c r="A18" s="1318">
        <f>'Nhân công 17-&gt;75'!A16</f>
        <v>4</v>
      </c>
      <c r="B18" s="1319" t="str">
        <f>'Nhân công 17-&gt;75'!B16</f>
        <v>Xây dựng siêu dữ liệu địa chính</v>
      </c>
      <c r="C18" s="1318"/>
      <c r="D18" s="1339">
        <f>SUM(D19:D21)</f>
        <v>2.0999999999999999E-3</v>
      </c>
      <c r="E18" s="1339">
        <f t="shared" ref="E18:M18" si="12">SUM(E19:E21)</f>
        <v>0</v>
      </c>
      <c r="F18" s="1339">
        <f t="shared" si="12"/>
        <v>5.1872109269230764</v>
      </c>
      <c r="G18" s="1339">
        <f t="shared" si="12"/>
        <v>45.641680000000008</v>
      </c>
      <c r="H18" s="1339">
        <f t="shared" si="12"/>
        <v>7.8640480000000004</v>
      </c>
      <c r="I18" s="1339">
        <f t="shared" si="12"/>
        <v>13.609392</v>
      </c>
      <c r="J18" s="1339">
        <f t="shared" si="12"/>
        <v>72.304430926923089</v>
      </c>
      <c r="K18" s="1339">
        <f t="shared" si="12"/>
        <v>10.845664639038461</v>
      </c>
      <c r="L18" s="1339">
        <f t="shared" si="12"/>
        <v>83.150095565961536</v>
      </c>
      <c r="M18" s="1339">
        <f t="shared" si="12"/>
        <v>75.286047565961539</v>
      </c>
    </row>
    <row r="19" spans="1:13" s="1321" customFormat="1">
      <c r="A19" s="1336" t="str">
        <f>'Nhân công 17-&gt;75'!A17</f>
        <v>4.1</v>
      </c>
      <c r="B19" s="1337" t="str">
        <f>'Nhân công 17-&gt;75'!B17</f>
        <v>Chuyển đổi siêu dữ liệu địa chính</v>
      </c>
      <c r="C19" s="1336" t="str">
        <f>'Nhân công 17-&gt;75'!C17</f>
        <v>Thửa</v>
      </c>
      <c r="D19" s="1338">
        <f>'Nhân công 17-&gt;75'!E17</f>
        <v>1E-4</v>
      </c>
      <c r="E19" s="1326"/>
      <c r="F19" s="1323">
        <f>'Dụng cụ 17-&gt;75'!F28</f>
        <v>0.2523978471153846</v>
      </c>
      <c r="G19" s="1323">
        <f>'Vật liệu 17-&gt;75'!G30</f>
        <v>2.2208200000000002</v>
      </c>
      <c r="H19" s="1323">
        <f>'Thiet bi 17-&gt;75'!J62</f>
        <v>0.74452400000000007</v>
      </c>
      <c r="I19" s="1323">
        <f>'Thiet bi 17-&gt;75'!K67</f>
        <v>0.90369600000000005</v>
      </c>
      <c r="J19" s="1324">
        <f t="shared" si="5"/>
        <v>4.121537847115385</v>
      </c>
      <c r="K19" s="1322">
        <f t="shared" si="6"/>
        <v>0.61823067706730772</v>
      </c>
      <c r="L19" s="1325">
        <f t="shared" si="7"/>
        <v>4.7397685241826926</v>
      </c>
      <c r="M19" s="1324">
        <f t="shared" si="8"/>
        <v>3.9952445241826924</v>
      </c>
    </row>
    <row r="20" spans="1:13" s="1321" customFormat="1" ht="47.25">
      <c r="A20" s="1336" t="str">
        <f>'Nhân công 17-&gt;75'!A18</f>
        <v>4.2</v>
      </c>
      <c r="B20" s="1337" t="str">
        <f>'Nhân công 17-&gt;75'!B18</f>
        <v>Thu nhận bổ sung các thông tin cần thiết để xây dựng siêu dữ liệu địa chính (thu nhận bổ sung thông tin)</v>
      </c>
      <c r="C20" s="1336" t="str">
        <f>'Nhân công 17-&gt;75'!C18</f>
        <v>Thửa</v>
      </c>
      <c r="D20" s="1338">
        <f>'Nhân công 17-&gt;75'!E18</f>
        <v>1.9E-3</v>
      </c>
      <c r="E20" s="1326"/>
      <c r="F20" s="1323">
        <f>'Dụng cụ 17-&gt;75'!F29</f>
        <v>4.6824152326923079</v>
      </c>
      <c r="G20" s="1323">
        <f>'Vật liệu 17-&gt;75'!G31</f>
        <v>41.200040000000001</v>
      </c>
      <c r="H20" s="1323">
        <f>'Thiet bi 17-&gt;75'!J68</f>
        <v>6.375</v>
      </c>
      <c r="I20" s="1323">
        <f>'Thiet bi 17-&gt;75'!K71</f>
        <v>11.802</v>
      </c>
      <c r="J20" s="1324">
        <f t="shared" si="5"/>
        <v>64.061355232692307</v>
      </c>
      <c r="K20" s="1322">
        <f t="shared" si="6"/>
        <v>9.6092032849038453</v>
      </c>
      <c r="L20" s="1325">
        <f t="shared" si="7"/>
        <v>73.670558517596149</v>
      </c>
      <c r="M20" s="1324">
        <f t="shared" si="8"/>
        <v>67.295558517596149</v>
      </c>
    </row>
    <row r="21" spans="1:13" s="1321" customFormat="1" ht="31.5">
      <c r="A21" s="1336" t="str">
        <f>'Nhân công 17-&gt;75'!A19</f>
        <v>4.3</v>
      </c>
      <c r="B21" s="1337" t="str">
        <f>'Nhân công 17-&gt;75'!B19</f>
        <v>Nhập bổ sung thông tin siêu dữ liệu địa chính cho từng đơn vị hành chính cấp xã</v>
      </c>
      <c r="C21" s="1336" t="str">
        <f>'Nhân công 17-&gt;75'!C19</f>
        <v>Thửa</v>
      </c>
      <c r="D21" s="1338">
        <f>'Nhân công 17-&gt;75'!E19</f>
        <v>1E-4</v>
      </c>
      <c r="E21" s="1320">
        <f t="shared" ref="E21" si="13">E22</f>
        <v>0</v>
      </c>
      <c r="F21" s="1323">
        <f>'Dụng cụ 17-&gt;75'!F30</f>
        <v>0.2523978471153846</v>
      </c>
      <c r="G21" s="1323">
        <f>'Vật liệu 17-&gt;75'!G32</f>
        <v>2.2208200000000002</v>
      </c>
      <c r="H21" s="1324">
        <f>'Thiet bi 17-&gt;75'!J72</f>
        <v>0.74452400000000007</v>
      </c>
      <c r="I21" s="1324">
        <f>'Thiet bi 17-&gt;75'!K77</f>
        <v>0.90369600000000005</v>
      </c>
      <c r="J21" s="1324">
        <f t="shared" si="5"/>
        <v>4.121537847115385</v>
      </c>
      <c r="K21" s="1322">
        <f t="shared" si="6"/>
        <v>0.61823067706730772</v>
      </c>
      <c r="L21" s="1324">
        <f t="shared" si="7"/>
        <v>4.7397685241826926</v>
      </c>
      <c r="M21" s="1324">
        <f t="shared" si="8"/>
        <v>3.9952445241826924</v>
      </c>
    </row>
    <row r="22" spans="1:13" ht="31.5">
      <c r="A22" s="1318">
        <f>'Nhân công 17-&gt;75'!A20</f>
        <v>5</v>
      </c>
      <c r="B22" s="1319" t="str">
        <f>'Nhân công 17-&gt;75'!B20</f>
        <v>Đối soát dữ liệu (do Văn phòng đăng ký đất đai thực hiện)</v>
      </c>
      <c r="C22" s="1318"/>
      <c r="D22" s="1339">
        <f>SUM(D23:D24)</f>
        <v>0.01</v>
      </c>
      <c r="E22" s="1339">
        <f t="shared" ref="E22:M22" si="14">SUM(E23:E24)</f>
        <v>0</v>
      </c>
      <c r="F22" s="1339">
        <f t="shared" si="14"/>
        <v>24.961276742307692</v>
      </c>
      <c r="G22" s="1339">
        <f t="shared" si="14"/>
        <v>219.63144000000003</v>
      </c>
      <c r="H22" s="1339">
        <f t="shared" si="14"/>
        <v>74.350400000000008</v>
      </c>
      <c r="I22" s="1339">
        <f t="shared" si="14"/>
        <v>89.911007999999995</v>
      </c>
      <c r="J22" s="1339">
        <f t="shared" si="14"/>
        <v>408.86412474230775</v>
      </c>
      <c r="K22" s="1339">
        <f t="shared" si="14"/>
        <v>61.329618711346157</v>
      </c>
      <c r="L22" s="1339">
        <f t="shared" si="14"/>
        <v>470.19374345365389</v>
      </c>
      <c r="M22" s="1339">
        <f t="shared" si="14"/>
        <v>395.84334345365392</v>
      </c>
    </row>
    <row r="23" spans="1:13" ht="63">
      <c r="A23" s="1336" t="str">
        <f>'Nhân công 17-&gt;75'!A21</f>
        <v>5.1</v>
      </c>
      <c r="B23" s="1337" t="str">
        <f>'Nhân công 17-&gt;75'!B21</f>
        <v>Đối soát thông tin của thửa đất trong CSDL đã được chuyển đổi, bổ sung với nguồn tài liệu, dữ liệu đã sử dụng để xây dựng CSDL đối với trường hợp phải xuất mới sổ địa chính (điện tử)</v>
      </c>
      <c r="C23" s="1336" t="str">
        <f>'Nhân công 17-&gt;75'!C21</f>
        <v>Thửa</v>
      </c>
      <c r="D23" s="1338">
        <f>'Nhân công 17-&gt;75'!E21</f>
        <v>5.0000000000000001E-3</v>
      </c>
      <c r="E23" s="1320">
        <f t="shared" ref="E23" si="15">E24+E25</f>
        <v>0</v>
      </c>
      <c r="F23" s="1323">
        <f>'Dụng cụ 17-&gt;75'!F32</f>
        <v>12.480638371153846</v>
      </c>
      <c r="G23" s="1323">
        <f>'Vật liệu 17-&gt;75'!G34</f>
        <v>109.81572000000001</v>
      </c>
      <c r="H23" s="1324">
        <f>'Thiet bi 17-&gt;75'!J79</f>
        <v>37.175200000000004</v>
      </c>
      <c r="I23" s="1324">
        <f>'Thiet bi 17-&gt;75'!K84</f>
        <v>44.955503999999998</v>
      </c>
      <c r="J23" s="1324">
        <f t="shared" si="5"/>
        <v>204.43206237115388</v>
      </c>
      <c r="K23" s="1322">
        <f t="shared" si="6"/>
        <v>30.664809355673079</v>
      </c>
      <c r="L23" s="1324">
        <f t="shared" si="7"/>
        <v>235.09687172682695</v>
      </c>
      <c r="M23" s="1324">
        <f t="shared" si="8"/>
        <v>197.92167172682696</v>
      </c>
    </row>
    <row r="24" spans="1:13" ht="31.5">
      <c r="A24" s="1336" t="str">
        <f>'Nhân công 17-&gt;75'!A22</f>
        <v>5.2</v>
      </c>
      <c r="B24" s="1337" t="str">
        <f>'Nhân công 17-&gt;75'!B22</f>
        <v>Thực hiện ký số vào Sổ địa chính (điện tử) đối với trường hợp xuất mới sổ địa chính (điện tử)</v>
      </c>
      <c r="C24" s="1336" t="str">
        <f>'Nhân công 17-&gt;75'!C22</f>
        <v>Thửa</v>
      </c>
      <c r="D24" s="1338">
        <f>'Nhân công 17-&gt;75'!E22</f>
        <v>5.0000000000000001E-3</v>
      </c>
      <c r="E24" s="1327"/>
      <c r="F24" s="1323">
        <f>'Dụng cụ 17-&gt;75'!F33</f>
        <v>12.480638371153846</v>
      </c>
      <c r="G24" s="1323">
        <f>'Vật liệu 17-&gt;75'!G35</f>
        <v>109.81572000000001</v>
      </c>
      <c r="H24" s="1328">
        <f>'Thiet bi 17-&gt;75'!J85</f>
        <v>37.175200000000004</v>
      </c>
      <c r="I24" s="1322">
        <f>'Thiet bi 17-&gt;75'!K90</f>
        <v>44.955503999999998</v>
      </c>
      <c r="J24" s="1324">
        <f t="shared" si="5"/>
        <v>204.43206237115388</v>
      </c>
      <c r="K24" s="1322">
        <f t="shared" si="6"/>
        <v>30.664809355673079</v>
      </c>
      <c r="L24" s="1325">
        <f t="shared" si="7"/>
        <v>235.09687172682695</v>
      </c>
      <c r="M24" s="1324">
        <f t="shared" si="8"/>
        <v>197.92167172682696</v>
      </c>
    </row>
    <row r="25" spans="1:13" ht="31.5">
      <c r="A25" s="1318">
        <f>'Nhân công 17-&gt;75'!A23</f>
        <v>6</v>
      </c>
      <c r="B25" s="1319" t="str">
        <f>'Nhân công 17-&gt;75'!B23</f>
        <v>Phục vụ kiểm tra, nghiệm thu CSDL địa chính</v>
      </c>
      <c r="C25" s="1318"/>
      <c r="D25" s="1339">
        <f>D26</f>
        <v>1E-3</v>
      </c>
      <c r="E25" s="1339">
        <f t="shared" ref="E25:M25" si="16">E26</f>
        <v>0</v>
      </c>
      <c r="F25" s="1339">
        <f t="shared" si="16"/>
        <v>2.4978683490384617</v>
      </c>
      <c r="G25" s="1339">
        <f t="shared" si="16"/>
        <v>21.978460000000002</v>
      </c>
      <c r="H25" s="1339">
        <f t="shared" si="16"/>
        <v>3.4010000000000002</v>
      </c>
      <c r="I25" s="1339">
        <f t="shared" si="16"/>
        <v>6.2988960000000001</v>
      </c>
      <c r="J25" s="1339">
        <f t="shared" si="16"/>
        <v>34.177224349038461</v>
      </c>
      <c r="K25" s="1339">
        <f t="shared" si="16"/>
        <v>5.1265836523557686</v>
      </c>
      <c r="L25" s="1339">
        <f t="shared" si="16"/>
        <v>39.303808001394231</v>
      </c>
      <c r="M25" s="1339">
        <f t="shared" si="16"/>
        <v>35.902808001394227</v>
      </c>
    </row>
    <row r="26" spans="1:13" ht="63">
      <c r="A26" s="1336"/>
      <c r="B26" s="1337" t="str">
        <f>'Nhân công 17-&gt;75'!B24</f>
        <v>Chuẩn bị tư liệu, tài liệu và phục vụ giám sát, kiểm tra, nghiệm thu; tổng hợp, xác định khối lượng sản phẩm đã thực hiện khi kết thúc công trình; lập biên bản bàn giao dữ liệu địa chính</v>
      </c>
      <c r="C26" s="1336" t="str">
        <f>'Nhân công 17-&gt;75'!C24</f>
        <v>Thửa</v>
      </c>
      <c r="D26" s="1338">
        <f>'Nhân công 17-&gt;75'!E24</f>
        <v>1E-3</v>
      </c>
      <c r="E26" s="1329"/>
      <c r="F26" s="1323">
        <f>'Dụng cụ 17-&gt;75'!F35</f>
        <v>2.4978683490384617</v>
      </c>
      <c r="G26" s="1323">
        <f>'Vật liệu 17-&gt;75'!G37</f>
        <v>21.978460000000002</v>
      </c>
      <c r="H26" s="1328">
        <f>'Thiet bi 17-&gt;75'!J92</f>
        <v>3.4010000000000002</v>
      </c>
      <c r="I26" s="1323">
        <f>'Thiet bi 17-&gt;75'!K95</f>
        <v>6.2988960000000001</v>
      </c>
      <c r="J26" s="1324">
        <f t="shared" si="5"/>
        <v>34.177224349038461</v>
      </c>
      <c r="K26" s="1322">
        <f t="shared" si="6"/>
        <v>5.1265836523557686</v>
      </c>
      <c r="L26" s="1324">
        <f t="shared" si="7"/>
        <v>39.303808001394231</v>
      </c>
      <c r="M26" s="1324">
        <f t="shared" si="8"/>
        <v>35.902808001394227</v>
      </c>
    </row>
    <row r="27" spans="1:13" ht="33" customHeight="1">
      <c r="A27" s="1330"/>
      <c r="B27" s="1319" t="s">
        <v>929</v>
      </c>
      <c r="C27" s="1327"/>
      <c r="D27" s="1340">
        <f>D5+D8+D13+D18+D22+D25</f>
        <v>3.49E-2</v>
      </c>
      <c r="E27" s="1331">
        <f t="shared" ref="E27:M27" si="17">E5+E8+E13+E18+E22+E25</f>
        <v>0</v>
      </c>
      <c r="F27" s="1331">
        <f t="shared" si="17"/>
        <v>87.033740384615385</v>
      </c>
      <c r="G27" s="1331">
        <f t="shared" si="17"/>
        <v>765.80000000000018</v>
      </c>
      <c r="H27" s="1331">
        <f t="shared" si="17"/>
        <v>255.54951940000001</v>
      </c>
      <c r="I27" s="1331">
        <f t="shared" si="17"/>
        <v>278.66208</v>
      </c>
      <c r="J27" s="1331">
        <f t="shared" si="17"/>
        <v>1387.0802397846153</v>
      </c>
      <c r="K27" s="1331">
        <f t="shared" si="17"/>
        <v>208.06203596769231</v>
      </c>
      <c r="L27" s="1331">
        <f t="shared" si="17"/>
        <v>1595.1422757523078</v>
      </c>
      <c r="M27" s="1331">
        <f t="shared" si="17"/>
        <v>1339.592756352308</v>
      </c>
    </row>
  </sheetData>
  <mergeCells count="15">
    <mergeCell ref="A1:M1"/>
    <mergeCell ref="A2:G2"/>
    <mergeCell ref="J2:M2"/>
    <mergeCell ref="A3:A4"/>
    <mergeCell ref="B3:B4"/>
    <mergeCell ref="C3:C4"/>
    <mergeCell ref="D3:D4"/>
    <mergeCell ref="E3:E4"/>
    <mergeCell ref="F3:F4"/>
    <mergeCell ref="G3:G4"/>
    <mergeCell ref="H3:I3"/>
    <mergeCell ref="J3:J4"/>
    <mergeCell ref="K3:K4"/>
    <mergeCell ref="L3:L4"/>
    <mergeCell ref="M3:M4"/>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05"/>
  <sheetViews>
    <sheetView topLeftCell="A86" zoomScale="85" zoomScaleNormal="85" workbookViewId="0">
      <selection activeCell="H8" sqref="H8"/>
    </sheetView>
  </sheetViews>
  <sheetFormatPr defaultColWidth="9" defaultRowHeight="15.75"/>
  <cols>
    <col min="1" max="1" width="7.875" style="334" customWidth="1"/>
    <col min="2" max="2" width="48.625" style="245" customWidth="1"/>
    <col min="3" max="3" width="5.75" style="296" bestFit="1" customWidth="1"/>
    <col min="4" max="4" width="8.625" style="245" customWidth="1"/>
    <col min="5" max="5" width="9.25" style="245" customWidth="1"/>
    <col min="6" max="6" width="12.375" style="297" hidden="1" customWidth="1"/>
    <col min="7" max="7" width="10.875" style="297" hidden="1" customWidth="1"/>
    <col min="8" max="8" width="9.875" style="298" bestFit="1" customWidth="1"/>
    <col min="9" max="9" width="14.25" style="286" customWidth="1"/>
    <col min="10" max="10" width="19.125" style="273" customWidth="1"/>
    <col min="11" max="11" width="17.75" style="273" customWidth="1"/>
    <col min="12" max="12" width="9" style="245"/>
    <col min="13" max="13" width="13.625" style="245" bestFit="1" customWidth="1"/>
    <col min="14" max="14" width="24" style="245" bestFit="1" customWidth="1"/>
    <col min="15" max="16384" width="9" style="245"/>
  </cols>
  <sheetData>
    <row r="1" spans="1:14">
      <c r="A1" s="1864" t="s">
        <v>22</v>
      </c>
      <c r="B1" s="1864"/>
      <c r="C1" s="1864"/>
      <c r="D1" s="1864"/>
      <c r="E1" s="1864"/>
      <c r="F1" s="1864"/>
      <c r="G1" s="1864"/>
      <c r="H1" s="1864"/>
      <c r="I1" s="1864"/>
    </row>
    <row r="2" spans="1:14" ht="16.5" thickBot="1">
      <c r="A2" s="323"/>
      <c r="B2" s="247"/>
      <c r="C2" s="246"/>
      <c r="D2" s="247"/>
      <c r="E2" s="247"/>
      <c r="F2" s="248"/>
      <c r="G2" s="249"/>
      <c r="H2" s="250" t="s">
        <v>70</v>
      </c>
      <c r="I2" s="251" t="s">
        <v>69</v>
      </c>
    </row>
    <row r="3" spans="1:14" s="257" customFormat="1" ht="47.25">
      <c r="A3" s="1287" t="s">
        <v>14</v>
      </c>
      <c r="B3" s="252" t="s">
        <v>16</v>
      </c>
      <c r="C3" s="253" t="s">
        <v>20</v>
      </c>
      <c r="D3" s="253" t="s">
        <v>4</v>
      </c>
      <c r="E3" s="253" t="s">
        <v>907</v>
      </c>
      <c r="F3" s="254" t="s">
        <v>18</v>
      </c>
      <c r="G3" s="254" t="s">
        <v>0</v>
      </c>
      <c r="H3" s="255" t="s">
        <v>928</v>
      </c>
      <c r="I3" s="256" t="s">
        <v>72</v>
      </c>
      <c r="J3" s="256" t="s">
        <v>164</v>
      </c>
      <c r="K3" s="256" t="s">
        <v>165</v>
      </c>
      <c r="L3" s="257">
        <v>8000</v>
      </c>
      <c r="N3" s="1411" t="s">
        <v>992</v>
      </c>
    </row>
    <row r="4" spans="1:14" s="257" customFormat="1">
      <c r="A4" s="326">
        <f>'Nhân công 17-&gt;75'!A3</f>
        <v>1</v>
      </c>
      <c r="B4" s="268" t="str">
        <f>'Nhân công 17-&gt;75'!B3</f>
        <v>Công tác chuẩn bị</v>
      </c>
      <c r="C4" s="1155"/>
      <c r="D4" s="1155"/>
      <c r="E4" s="1155"/>
      <c r="F4" s="1156"/>
      <c r="G4" s="1156"/>
      <c r="H4" s="1157"/>
      <c r="I4" s="1158"/>
      <c r="J4" s="1159"/>
      <c r="K4" s="1159"/>
      <c r="N4" s="13"/>
    </row>
    <row r="5" spans="1:14" s="257" customFormat="1" ht="78.75">
      <c r="A5" s="1160" t="str">
        <f>'Nhân công 17-&gt;75'!A4</f>
        <v>1.1</v>
      </c>
      <c r="B5" s="1163" t="str">
        <f>'Nhân công 17-&gt;75'!B4</f>
        <v>Lập kế hoạch thi công chi tiết: Xác định thời gian, địa điểm, khối lượng và nhân lực thực hiện của từng bước công việc; lập kế hoạch làm việc với các đơn vị có liên quan đến công tác chuyển đổi, bổ sung, hoàn thiện CSDL địa chính trên địa bàn thi công</v>
      </c>
      <c r="C5" s="1155"/>
      <c r="D5" s="1155"/>
      <c r="E5" s="1155"/>
      <c r="F5" s="1156"/>
      <c r="G5" s="1156"/>
      <c r="H5" s="1433"/>
      <c r="I5" s="1158"/>
      <c r="J5" s="1159">
        <f>SUM(I6:I7)</f>
        <v>1.02</v>
      </c>
      <c r="K5" s="1159"/>
      <c r="N5" s="19">
        <v>4</v>
      </c>
    </row>
    <row r="6" spans="1:14">
      <c r="A6" s="325"/>
      <c r="B6" s="258" t="s">
        <v>73</v>
      </c>
      <c r="C6" s="259" t="s">
        <v>130</v>
      </c>
      <c r="D6" s="259">
        <f>Gia_Tbi!$D$4</f>
        <v>0.4</v>
      </c>
      <c r="E6" s="259">
        <f>Gia_Tbi!$E$4</f>
        <v>5</v>
      </c>
      <c r="F6" s="1410">
        <f>Gia_Tbi!$F$4</f>
        <v>10000000</v>
      </c>
      <c r="G6" s="105">
        <f>Gia_Tbi!$G$4</f>
        <v>4000</v>
      </c>
      <c r="H6" s="1432">
        <v>2.4000000000000001E-4</v>
      </c>
      <c r="I6" s="262">
        <f>$G6*H6</f>
        <v>0.96000000000000008</v>
      </c>
      <c r="J6" s="342"/>
      <c r="K6" s="342"/>
      <c r="M6" s="1507"/>
    </row>
    <row r="7" spans="1:14">
      <c r="A7" s="325"/>
      <c r="B7" s="258" t="s">
        <v>24</v>
      </c>
      <c r="C7" s="259" t="s">
        <v>130</v>
      </c>
      <c r="D7" s="259">
        <f>Gia_Tbi!$D$6</f>
        <v>2.2000000000000002</v>
      </c>
      <c r="E7" s="259">
        <f>Gia_Tbi!$E$6</f>
        <v>8</v>
      </c>
      <c r="F7" s="1410">
        <f>Gia_Tbi!$F$6</f>
        <v>12000000</v>
      </c>
      <c r="G7" s="105">
        <f>Gia_Tbi!$G$6</f>
        <v>3000</v>
      </c>
      <c r="H7" s="1432">
        <v>2.0000000000000002E-5</v>
      </c>
      <c r="I7" s="262">
        <f>$G7*H7</f>
        <v>6.0000000000000005E-2</v>
      </c>
      <c r="J7" s="342"/>
      <c r="K7" s="342"/>
      <c r="M7" s="1507"/>
    </row>
    <row r="8" spans="1:14">
      <c r="A8" s="325"/>
      <c r="B8" s="263" t="s">
        <v>8</v>
      </c>
      <c r="C8" s="264" t="s">
        <v>147</v>
      </c>
      <c r="D8" s="264"/>
      <c r="E8" s="265"/>
      <c r="F8" s="266">
        <f>Gia_Tbi!$F$13</f>
        <v>1686</v>
      </c>
      <c r="G8" s="267">
        <f>Gia_Tbi!$G$13</f>
        <v>13488</v>
      </c>
      <c r="H8" s="1434">
        <v>1.3999999999999999E-4</v>
      </c>
      <c r="I8" s="262">
        <f>$G8*H8</f>
        <v>1.8883199999999998</v>
      </c>
      <c r="J8" s="349"/>
      <c r="K8" s="349">
        <f>I8</f>
        <v>1.8883199999999998</v>
      </c>
      <c r="L8" s="350"/>
      <c r="M8" s="1507"/>
    </row>
    <row r="9" spans="1:14" s="257" customFormat="1" ht="47.25">
      <c r="A9" s="1160" t="str">
        <f>'Nhân công 17-&gt;75'!A5</f>
        <v>1.2</v>
      </c>
      <c r="B9" s="1163" t="str">
        <f>'Nhân công 17-&gt;75'!B5</f>
        <v>Chuẩn bị nhân lực, địa điểm làm việc; chuẩn bị vật tư, thiết bị, dụng cụ, cài đặt phần mềm phục vụ cho công tác chuyển đổi, bổ sung, hoàn thiện CSDL địa chính</v>
      </c>
      <c r="C9" s="1155"/>
      <c r="D9" s="1155"/>
      <c r="E9" s="1155"/>
      <c r="F9" s="1156"/>
      <c r="G9" s="1156"/>
      <c r="H9" s="1433"/>
      <c r="I9" s="1158"/>
      <c r="J9" s="1159">
        <f>SUM(I10:I11)</f>
        <v>1.02</v>
      </c>
      <c r="K9" s="1159"/>
      <c r="M9" s="1507"/>
    </row>
    <row r="10" spans="1:14">
      <c r="A10" s="325"/>
      <c r="B10" s="258" t="s">
        <v>73</v>
      </c>
      <c r="C10" s="259" t="s">
        <v>130</v>
      </c>
      <c r="D10" s="259">
        <f>Gia_Tbi!$D$4</f>
        <v>0.4</v>
      </c>
      <c r="E10" s="259">
        <f>Gia_Tbi!$E$4</f>
        <v>5</v>
      </c>
      <c r="F10" s="1410">
        <f>Gia_Tbi!$F$4</f>
        <v>10000000</v>
      </c>
      <c r="G10" s="105">
        <f>Gia_Tbi!$G$4</f>
        <v>4000</v>
      </c>
      <c r="H10" s="1432">
        <v>2.4000000000000001E-4</v>
      </c>
      <c r="I10" s="262">
        <f>$G10*H10</f>
        <v>0.96000000000000008</v>
      </c>
      <c r="J10" s="342"/>
      <c r="K10" s="342"/>
      <c r="M10" s="1507"/>
    </row>
    <row r="11" spans="1:14">
      <c r="A11" s="325"/>
      <c r="B11" s="258" t="s">
        <v>24</v>
      </c>
      <c r="C11" s="259" t="s">
        <v>130</v>
      </c>
      <c r="D11" s="259">
        <f>Gia_Tbi!$D$6</f>
        <v>2.2000000000000002</v>
      </c>
      <c r="E11" s="259">
        <f>Gia_Tbi!$E$6</f>
        <v>8</v>
      </c>
      <c r="F11" s="1410">
        <f>Gia_Tbi!$F$6</f>
        <v>12000000</v>
      </c>
      <c r="G11" s="105">
        <f>Gia_Tbi!$G$6</f>
        <v>3000</v>
      </c>
      <c r="H11" s="1432">
        <v>2.0000000000000002E-5</v>
      </c>
      <c r="I11" s="262">
        <f>$G11*H11</f>
        <v>6.0000000000000005E-2</v>
      </c>
      <c r="J11" s="342"/>
      <c r="K11" s="342"/>
      <c r="M11" s="1507"/>
    </row>
    <row r="12" spans="1:14">
      <c r="A12" s="325"/>
      <c r="B12" s="263" t="s">
        <v>8</v>
      </c>
      <c r="C12" s="264" t="s">
        <v>147</v>
      </c>
      <c r="D12" s="264"/>
      <c r="E12" s="265"/>
      <c r="F12" s="266">
        <f>Gia_Tbi!$F$13</f>
        <v>1686</v>
      </c>
      <c r="G12" s="267">
        <f>Gia_Tbi!$G$13</f>
        <v>13488</v>
      </c>
      <c r="H12" s="1434">
        <v>1.3999999999999999E-4</v>
      </c>
      <c r="I12" s="262">
        <f>$G12*H12</f>
        <v>1.8883199999999998</v>
      </c>
      <c r="J12" s="349"/>
      <c r="K12" s="349">
        <f>I12</f>
        <v>1.8883199999999998</v>
      </c>
      <c r="L12" s="350"/>
      <c r="M12" s="1507"/>
    </row>
    <row r="13" spans="1:14" s="257" customFormat="1">
      <c r="A13" s="326">
        <f>'Nhân công 17-&gt;75'!A6</f>
        <v>2</v>
      </c>
      <c r="B13" s="268" t="str">
        <f>'Nhân công 17-&gt;75'!B6</f>
        <v>Chuyển đổi dữ liệu địa chính</v>
      </c>
      <c r="C13" s="1155"/>
      <c r="D13" s="1155"/>
      <c r="E13" s="1155"/>
      <c r="F13" s="1156"/>
      <c r="G13" s="1156"/>
      <c r="H13" s="1433"/>
      <c r="I13" s="1158"/>
      <c r="J13" s="1159"/>
      <c r="K13" s="1159"/>
      <c r="M13" s="1507"/>
    </row>
    <row r="14" spans="1:14" s="257" customFormat="1" ht="31.5">
      <c r="A14" s="1160" t="str">
        <f>'Nhân công 17-&gt;75'!A7</f>
        <v>2.1</v>
      </c>
      <c r="B14" s="1163" t="str">
        <f>'Nhân công 17-&gt;75'!B7</f>
        <v>Lập mô hình chuyển đổi cấu trúc dữ liệu của CSDL địa chính đã xây dựng sang cấu trúc dữ liệu hiện hành</v>
      </c>
      <c r="C14" s="1155"/>
      <c r="D14" s="1155"/>
      <c r="E14" s="1155"/>
      <c r="F14" s="1156"/>
      <c r="G14" s="1156"/>
      <c r="H14" s="1433"/>
      <c r="I14" s="1158"/>
      <c r="J14" s="1159">
        <f>SUM(I15:I16)</f>
        <v>3.4010000000000002</v>
      </c>
      <c r="K14" s="1159"/>
      <c r="M14" s="1507"/>
    </row>
    <row r="15" spans="1:14">
      <c r="A15" s="325"/>
      <c r="B15" s="258" t="s">
        <v>73</v>
      </c>
      <c r="C15" s="259" t="s">
        <v>130</v>
      </c>
      <c r="D15" s="259">
        <f>Gia_Tbi!$D$4</f>
        <v>0.4</v>
      </c>
      <c r="E15" s="259">
        <f>Gia_Tbi!$E$4</f>
        <v>5</v>
      </c>
      <c r="F15" s="260">
        <f>Gia_Tbi!$F$4</f>
        <v>10000000</v>
      </c>
      <c r="G15" s="261">
        <f>Gia_Tbi!$G$4</f>
        <v>4000</v>
      </c>
      <c r="H15" s="1432">
        <v>8.0000000000000004E-4</v>
      </c>
      <c r="I15" s="262">
        <f>$G15*H15</f>
        <v>3.2</v>
      </c>
      <c r="J15" s="342"/>
      <c r="K15" s="342"/>
      <c r="M15" s="1507"/>
    </row>
    <row r="16" spans="1:14">
      <c r="A16" s="325"/>
      <c r="B16" s="258" t="s">
        <v>24</v>
      </c>
      <c r="C16" s="259" t="s">
        <v>130</v>
      </c>
      <c r="D16" s="259">
        <f>Gia_Tbi!$D$6</f>
        <v>2.2000000000000002</v>
      </c>
      <c r="E16" s="259">
        <f>Gia_Tbi!$E$6</f>
        <v>8</v>
      </c>
      <c r="F16" s="260">
        <f>Gia_Tbi!$F$6</f>
        <v>12000000</v>
      </c>
      <c r="G16" s="261">
        <f>Gia_Tbi!$G$6</f>
        <v>3000</v>
      </c>
      <c r="H16" s="1432">
        <v>6.7000000000000002E-5</v>
      </c>
      <c r="I16" s="262">
        <f>$G16*H16</f>
        <v>0.20100000000000001</v>
      </c>
      <c r="J16" s="342"/>
      <c r="K16" s="342"/>
      <c r="M16" s="1507"/>
    </row>
    <row r="17" spans="1:13">
      <c r="A17" s="325"/>
      <c r="B17" s="263" t="s">
        <v>8</v>
      </c>
      <c r="C17" s="264" t="s">
        <v>147</v>
      </c>
      <c r="D17" s="264"/>
      <c r="E17" s="265"/>
      <c r="F17" s="266">
        <f>Gia_Tbi!$F$13</f>
        <v>1686</v>
      </c>
      <c r="G17" s="267">
        <f>Gia_Tbi!$G$13</f>
        <v>13488</v>
      </c>
      <c r="H17" s="1434">
        <v>4.6700000000000002E-4</v>
      </c>
      <c r="I17" s="262">
        <f>$G17*H17</f>
        <v>6.2988960000000001</v>
      </c>
      <c r="J17" s="349"/>
      <c r="K17" s="349">
        <f>I17</f>
        <v>6.2988960000000001</v>
      </c>
      <c r="L17" s="350"/>
      <c r="M17" s="1507"/>
    </row>
    <row r="18" spans="1:13" s="257" customFormat="1">
      <c r="A18" s="1160" t="str">
        <f>'Nhân công 17-&gt;75'!A8</f>
        <v>2.2</v>
      </c>
      <c r="B18" s="1163" t="str">
        <f>'Nhân công 17-&gt;75'!B8</f>
        <v>Chuyển đổi cấu trúc dữ liệu không gian địa chính</v>
      </c>
      <c r="C18" s="1155"/>
      <c r="D18" s="1155"/>
      <c r="E18" s="1155"/>
      <c r="F18" s="1156"/>
      <c r="G18" s="1156"/>
      <c r="H18" s="1433"/>
      <c r="I18" s="1158"/>
      <c r="J18" s="1159">
        <f>SUM(I19:I22)</f>
        <v>6.2639999999999993</v>
      </c>
      <c r="K18" s="1159"/>
      <c r="M18" s="1507"/>
    </row>
    <row r="19" spans="1:13">
      <c r="A19" s="325"/>
      <c r="B19" s="258" t="s">
        <v>73</v>
      </c>
      <c r="C19" s="259" t="s">
        <v>130</v>
      </c>
      <c r="D19" s="259">
        <f>Gia_Tbi!$D$4</f>
        <v>0.4</v>
      </c>
      <c r="E19" s="259">
        <f>Gia_Tbi!$E$4</f>
        <v>5</v>
      </c>
      <c r="F19" s="1410">
        <f>Gia_Tbi!$F$4</f>
        <v>10000000</v>
      </c>
      <c r="G19" s="105">
        <f>Gia_Tbi!$G$4</f>
        <v>4000</v>
      </c>
      <c r="H19" s="1432">
        <v>2.4000000000000001E-4</v>
      </c>
      <c r="I19" s="262">
        <f>$G19*H19</f>
        <v>0.96000000000000008</v>
      </c>
      <c r="J19" s="342"/>
      <c r="K19" s="342"/>
      <c r="M19" s="1507"/>
    </row>
    <row r="20" spans="1:13">
      <c r="A20" s="325"/>
      <c r="B20" s="258" t="str">
        <f>Gia_Tbi!B10</f>
        <v>Máy chủ</v>
      </c>
      <c r="C20" s="259" t="str">
        <f>Gia_Tbi!C10</f>
        <v>Cái</v>
      </c>
      <c r="D20" s="259">
        <f>Gia_Tbi!D10</f>
        <v>1</v>
      </c>
      <c r="E20" s="259">
        <f>Gia_Tbi!E10</f>
        <v>10</v>
      </c>
      <c r="F20" s="1409">
        <f>Gia_Tbi!F10</f>
        <v>80000000</v>
      </c>
      <c r="G20" s="105">
        <f>Gia_Tbi!G10</f>
        <v>16000</v>
      </c>
      <c r="H20" s="1432">
        <v>6.0000000000000002E-5</v>
      </c>
      <c r="I20" s="262">
        <f t="shared" ref="I20:I21" si="0">$G20*H20</f>
        <v>0.96000000000000008</v>
      </c>
      <c r="J20" s="342"/>
      <c r="K20" s="342"/>
      <c r="M20" s="1507"/>
    </row>
    <row r="21" spans="1:13">
      <c r="A21" s="325"/>
      <c r="B21" s="258" t="str">
        <f>Gia_Phanmem!B6</f>
        <v>Hệ quản trị dữ liệu không gian</v>
      </c>
      <c r="C21" s="259" t="str">
        <f>Gia_Phanmem!C6</f>
        <v>Bộ</v>
      </c>
      <c r="D21" s="259"/>
      <c r="E21" s="259">
        <f>Gia_Phanmem!E6</f>
        <v>10</v>
      </c>
      <c r="F21" s="1409">
        <f>Gia_Phanmem!F6</f>
        <v>357000000</v>
      </c>
      <c r="G21" s="105">
        <f>Gia_Phanmem!G6</f>
        <v>71400</v>
      </c>
      <c r="H21" s="1432">
        <v>6.0000000000000002E-5</v>
      </c>
      <c r="I21" s="262">
        <f t="shared" si="0"/>
        <v>4.2839999999999998</v>
      </c>
      <c r="J21" s="342"/>
      <c r="K21" s="342"/>
      <c r="M21" s="1507"/>
    </row>
    <row r="22" spans="1:13">
      <c r="A22" s="325"/>
      <c r="B22" s="258" t="s">
        <v>24</v>
      </c>
      <c r="C22" s="259" t="s">
        <v>130</v>
      </c>
      <c r="D22" s="259">
        <f>Gia_Tbi!$D$6</f>
        <v>2.2000000000000002</v>
      </c>
      <c r="E22" s="259">
        <f>Gia_Tbi!$E$6</f>
        <v>8</v>
      </c>
      <c r="F22" s="260">
        <f>Gia_Tbi!$F$6</f>
        <v>12000000</v>
      </c>
      <c r="G22" s="261">
        <f>Gia_Tbi!$G$6</f>
        <v>3000</v>
      </c>
      <c r="H22" s="1432">
        <v>2.0000000000000002E-5</v>
      </c>
      <c r="I22" s="262">
        <f>$G22*H22</f>
        <v>6.0000000000000005E-2</v>
      </c>
      <c r="J22" s="342"/>
      <c r="K22" s="342"/>
      <c r="M22" s="1507"/>
    </row>
    <row r="23" spans="1:13">
      <c r="A23" s="325"/>
      <c r="B23" s="263" t="s">
        <v>8</v>
      </c>
      <c r="C23" s="264" t="s">
        <v>147</v>
      </c>
      <c r="D23" s="264"/>
      <c r="E23" s="265"/>
      <c r="F23" s="266">
        <f>Gia_Tbi!$F$13</f>
        <v>1686</v>
      </c>
      <c r="G23" s="267">
        <f>Gia_Tbi!$G$13</f>
        <v>13488</v>
      </c>
      <c r="H23" s="1434">
        <v>2.0000000000000001E-4</v>
      </c>
      <c r="I23" s="262">
        <f>$G23*H23</f>
        <v>2.6976</v>
      </c>
      <c r="J23" s="349"/>
      <c r="K23" s="349">
        <f>I23</f>
        <v>2.6976</v>
      </c>
      <c r="L23" s="350"/>
      <c r="M23" s="1507"/>
    </row>
    <row r="24" spans="1:13" s="257" customFormat="1">
      <c r="A24" s="1160" t="str">
        <f>'Nhân công 17-&gt;75'!A9</f>
        <v>2.3</v>
      </c>
      <c r="B24" s="1163" t="str">
        <f>'Nhân công 17-&gt;75'!B9</f>
        <v>Chuyển đổi cấu trúc dữ liệu thuộc tính địa chính</v>
      </c>
      <c r="C24" s="1155"/>
      <c r="D24" s="1155"/>
      <c r="E24" s="1155"/>
      <c r="F24" s="1156"/>
      <c r="G24" s="1156"/>
      <c r="H24" s="1433"/>
      <c r="I24" s="1158"/>
      <c r="J24" s="1159">
        <f>SUM(I25:I28)</f>
        <v>2.230572</v>
      </c>
      <c r="K24" s="1159"/>
      <c r="M24" s="1507"/>
    </row>
    <row r="25" spans="1:13">
      <c r="A25" s="325"/>
      <c r="B25" s="258" t="s">
        <v>73</v>
      </c>
      <c r="C25" s="259" t="s">
        <v>130</v>
      </c>
      <c r="D25" s="259">
        <f>Gia_Tbi!$D$4</f>
        <v>0.4</v>
      </c>
      <c r="E25" s="259">
        <f>Gia_Tbi!$E$4</f>
        <v>5</v>
      </c>
      <c r="F25" s="1410">
        <f>Gia_Tbi!$F$4</f>
        <v>10000000</v>
      </c>
      <c r="G25" s="105">
        <f>Gia_Tbi!$G$4</f>
        <v>4000</v>
      </c>
      <c r="H25" s="1432">
        <v>2.4000000000000001E-4</v>
      </c>
      <c r="I25" s="262">
        <f>$G25*H25</f>
        <v>0.96000000000000008</v>
      </c>
      <c r="J25" s="342"/>
      <c r="K25" s="342"/>
      <c r="M25" s="1507"/>
    </row>
    <row r="26" spans="1:13">
      <c r="A26" s="325"/>
      <c r="B26" s="258" t="str">
        <f t="shared" ref="B26:G26" si="1">B20</f>
        <v>Máy chủ</v>
      </c>
      <c r="C26" s="259" t="str">
        <f t="shared" si="1"/>
        <v>Cái</v>
      </c>
      <c r="D26" s="259">
        <f t="shared" si="1"/>
        <v>1</v>
      </c>
      <c r="E26" s="259">
        <f t="shared" si="1"/>
        <v>10</v>
      </c>
      <c r="F26" s="1409">
        <f t="shared" si="1"/>
        <v>80000000</v>
      </c>
      <c r="G26" s="105">
        <f t="shared" si="1"/>
        <v>16000</v>
      </c>
      <c r="H26" s="1432">
        <v>6.0000000000000002E-5</v>
      </c>
      <c r="I26" s="262">
        <f t="shared" ref="I26:I27" si="2">$G26*H26</f>
        <v>0.96000000000000008</v>
      </c>
      <c r="J26" s="342"/>
      <c r="K26" s="342"/>
      <c r="M26" s="1507"/>
    </row>
    <row r="27" spans="1:13">
      <c r="A27" s="325"/>
      <c r="B27" s="258" t="str">
        <f>Gia_Phanmem!B5</f>
        <v>Hệ quản trị cơ sở dữ liệu thuộc tính</v>
      </c>
      <c r="C27" s="259" t="str">
        <f>Gia_Phanmem!C5</f>
        <v>Bộ</v>
      </c>
      <c r="D27" s="259"/>
      <c r="E27" s="259">
        <f>Gia_Phanmem!E5</f>
        <v>10</v>
      </c>
      <c r="F27" s="1409">
        <f>Gia_Phanmem!F5</f>
        <v>20881000</v>
      </c>
      <c r="G27" s="105">
        <f>Gia_Phanmem!G5</f>
        <v>4176.2</v>
      </c>
      <c r="H27" s="1432">
        <v>6.0000000000000002E-5</v>
      </c>
      <c r="I27" s="262">
        <f t="shared" si="2"/>
        <v>0.25057200000000002</v>
      </c>
      <c r="J27" s="342"/>
      <c r="K27" s="342"/>
      <c r="M27" s="1507"/>
    </row>
    <row r="28" spans="1:13">
      <c r="A28" s="325"/>
      <c r="B28" s="258" t="s">
        <v>24</v>
      </c>
      <c r="C28" s="259" t="s">
        <v>130</v>
      </c>
      <c r="D28" s="259">
        <f>Gia_Tbi!$D$6</f>
        <v>2.2000000000000002</v>
      </c>
      <c r="E28" s="259">
        <f>Gia_Tbi!$E$6</f>
        <v>8</v>
      </c>
      <c r="F28" s="1410">
        <f>Gia_Tbi!$F$6</f>
        <v>12000000</v>
      </c>
      <c r="G28" s="105">
        <f>Gia_Tbi!$G$6</f>
        <v>3000</v>
      </c>
      <c r="H28" s="1432">
        <v>2.0000000000000002E-5</v>
      </c>
      <c r="I28" s="262">
        <f>$G28*H28</f>
        <v>6.0000000000000005E-2</v>
      </c>
      <c r="J28" s="342"/>
      <c r="K28" s="342"/>
      <c r="M28" s="1507"/>
    </row>
    <row r="29" spans="1:13">
      <c r="A29" s="325"/>
      <c r="B29" s="263" t="s">
        <v>8</v>
      </c>
      <c r="C29" s="264" t="s">
        <v>147</v>
      </c>
      <c r="D29" s="264"/>
      <c r="E29" s="265"/>
      <c r="F29" s="266">
        <f>Gia_Tbi!$F$13</f>
        <v>1686</v>
      </c>
      <c r="G29" s="267">
        <f>Gia_Tbi!$G$13</f>
        <v>13488</v>
      </c>
      <c r="H29" s="1434">
        <v>2.0000000000000001E-4</v>
      </c>
      <c r="I29" s="262">
        <f>$G29*H29</f>
        <v>2.6976</v>
      </c>
      <c r="J29" s="349"/>
      <c r="K29" s="349">
        <f>I29</f>
        <v>2.6976</v>
      </c>
      <c r="L29" s="350"/>
      <c r="M29" s="1507"/>
    </row>
    <row r="30" spans="1:13" s="257" customFormat="1">
      <c r="A30" s="1160" t="str">
        <f>'Nhân công 17-&gt;75'!A10</f>
        <v>2.4</v>
      </c>
      <c r="B30" s="1163" t="str">
        <f>'Nhân công 17-&gt;75'!B10</f>
        <v>Chuyển đổi cấu trúc dữ liệu hồ sơ quét</v>
      </c>
      <c r="C30" s="1155"/>
      <c r="D30" s="1155"/>
      <c r="E30" s="1155"/>
      <c r="F30" s="1156"/>
      <c r="G30" s="1156"/>
      <c r="H30" s="1433"/>
      <c r="I30" s="1158"/>
      <c r="J30" s="1159">
        <f>SUM(I31:I33)</f>
        <v>0.66100000000000003</v>
      </c>
      <c r="K30" s="1159"/>
      <c r="M30" s="1507"/>
    </row>
    <row r="31" spans="1:13">
      <c r="A31" s="325"/>
      <c r="B31" s="258" t="s">
        <v>73</v>
      </c>
      <c r="C31" s="259" t="s">
        <v>130</v>
      </c>
      <c r="D31" s="259">
        <f>Gia_Tbi!$D$4</f>
        <v>0.4</v>
      </c>
      <c r="E31" s="259">
        <f>Gia_Tbi!$E$4</f>
        <v>5</v>
      </c>
      <c r="F31" s="1410">
        <f>Gia_Tbi!$F$4</f>
        <v>10000000</v>
      </c>
      <c r="G31" s="105">
        <f>Gia_Tbi!$G$4</f>
        <v>4000</v>
      </c>
      <c r="H31" s="1432">
        <v>8.0000000000000007E-5</v>
      </c>
      <c r="I31" s="262">
        <f>$G31*H31</f>
        <v>0.32</v>
      </c>
      <c r="J31" s="342"/>
      <c r="K31" s="342"/>
      <c r="M31" s="1507"/>
    </row>
    <row r="32" spans="1:13">
      <c r="A32" s="325"/>
      <c r="B32" s="258" t="str">
        <f t="shared" ref="B32:G32" si="3">B26</f>
        <v>Máy chủ</v>
      </c>
      <c r="C32" s="259" t="str">
        <f t="shared" si="3"/>
        <v>Cái</v>
      </c>
      <c r="D32" s="259">
        <f t="shared" si="3"/>
        <v>1</v>
      </c>
      <c r="E32" s="259">
        <f t="shared" si="3"/>
        <v>10</v>
      </c>
      <c r="F32" s="1409">
        <f t="shared" si="3"/>
        <v>80000000</v>
      </c>
      <c r="G32" s="105">
        <f t="shared" si="3"/>
        <v>16000</v>
      </c>
      <c r="H32" s="1432">
        <v>2.0000000000000002E-5</v>
      </c>
      <c r="I32" s="262">
        <f t="shared" ref="I32" si="4">$G32*H32</f>
        <v>0.32</v>
      </c>
      <c r="J32" s="342"/>
      <c r="K32" s="342"/>
      <c r="M32" s="1507"/>
    </row>
    <row r="33" spans="1:13">
      <c r="A33" s="325"/>
      <c r="B33" s="258" t="s">
        <v>24</v>
      </c>
      <c r="C33" s="259" t="s">
        <v>130</v>
      </c>
      <c r="D33" s="259">
        <f>Gia_Tbi!$D$6</f>
        <v>2.2000000000000002</v>
      </c>
      <c r="E33" s="259">
        <f>Gia_Tbi!$E$6</f>
        <v>8</v>
      </c>
      <c r="F33" s="1410">
        <f>Gia_Tbi!$F$6</f>
        <v>12000000</v>
      </c>
      <c r="G33" s="105">
        <f>Gia_Tbi!$G$6</f>
        <v>3000</v>
      </c>
      <c r="H33" s="1432">
        <v>6.9999999999999999E-6</v>
      </c>
      <c r="I33" s="262">
        <f>$G33*H33</f>
        <v>2.1000000000000001E-2</v>
      </c>
      <c r="J33" s="342"/>
      <c r="K33" s="342"/>
      <c r="M33" s="1507"/>
    </row>
    <row r="34" spans="1:13">
      <c r="A34" s="325"/>
      <c r="B34" s="263" t="s">
        <v>8</v>
      </c>
      <c r="C34" s="264" t="s">
        <v>147</v>
      </c>
      <c r="D34" s="264"/>
      <c r="E34" s="265"/>
      <c r="F34" s="266">
        <f>Gia_Tbi!$F$13</f>
        <v>1686</v>
      </c>
      <c r="G34" s="267">
        <f>Gia_Tbi!$G$13</f>
        <v>13488</v>
      </c>
      <c r="H34" s="1434">
        <v>4.6999999999999997E-5</v>
      </c>
      <c r="I34" s="262">
        <f>$G34*H34</f>
        <v>0.63393599999999994</v>
      </c>
      <c r="J34" s="349"/>
      <c r="K34" s="349">
        <f>I34</f>
        <v>0.63393599999999994</v>
      </c>
      <c r="L34" s="350"/>
      <c r="M34" s="1507"/>
    </row>
    <row r="35" spans="1:13" s="257" customFormat="1">
      <c r="A35" s="326">
        <f>'Nhân công 17-&gt;75'!A11</f>
        <v>3</v>
      </c>
      <c r="B35" s="268" t="str">
        <f>'Nhân công 17-&gt;75'!B11</f>
        <v>Bổ sung, hoàn thiện dữ liệu địa chính</v>
      </c>
      <c r="C35" s="1155"/>
      <c r="D35" s="1155"/>
      <c r="E35" s="1155"/>
      <c r="F35" s="1156"/>
      <c r="G35" s="1156"/>
      <c r="H35" s="1433"/>
      <c r="I35" s="1158"/>
      <c r="J35" s="1159"/>
      <c r="K35" s="1159"/>
      <c r="M35" s="1507"/>
    </row>
    <row r="36" spans="1:13" s="257" customFormat="1">
      <c r="A36" s="1160" t="str">
        <f>'Nhân công 17-&gt;75'!A12</f>
        <v>3.1</v>
      </c>
      <c r="B36" s="1163" t="str">
        <f>'Nhân công 17-&gt;75'!B12</f>
        <v xml:space="preserve">Rà soát, bổ sung dữ liệu không gian địa chính </v>
      </c>
      <c r="C36" s="1155"/>
      <c r="D36" s="1155"/>
      <c r="E36" s="1155"/>
      <c r="F36" s="1156"/>
      <c r="G36" s="1156"/>
      <c r="H36" s="1433"/>
      <c r="I36" s="1158"/>
      <c r="J36" s="1159">
        <f>SUM(I37:I40)</f>
        <v>27.145</v>
      </c>
      <c r="K36" s="1159"/>
      <c r="M36" s="1507"/>
    </row>
    <row r="37" spans="1:13">
      <c r="A37" s="325"/>
      <c r="B37" s="258" t="s">
        <v>73</v>
      </c>
      <c r="C37" s="259" t="s">
        <v>130</v>
      </c>
      <c r="D37" s="259">
        <f>Gia_Tbi!$D$4</f>
        <v>0.4</v>
      </c>
      <c r="E37" s="259">
        <f>Gia_Tbi!$E$4</f>
        <v>5</v>
      </c>
      <c r="F37" s="1410">
        <f>Gia_Tbi!$F$4</f>
        <v>10000000</v>
      </c>
      <c r="G37" s="105">
        <f>Gia_Tbi!$G$4</f>
        <v>4000</v>
      </c>
      <c r="H37" s="1432">
        <v>1.0399999999999999E-3</v>
      </c>
      <c r="I37" s="262">
        <f>$G37*H37</f>
        <v>4.1599999999999993</v>
      </c>
      <c r="J37" s="342"/>
      <c r="K37" s="342"/>
      <c r="M37" s="1507"/>
    </row>
    <row r="38" spans="1:13">
      <c r="A38" s="325"/>
      <c r="B38" s="258" t="str">
        <f t="shared" ref="B38:G38" si="5">B32</f>
        <v>Máy chủ</v>
      </c>
      <c r="C38" s="259" t="str">
        <f t="shared" si="5"/>
        <v>Cái</v>
      </c>
      <c r="D38" s="259">
        <f t="shared" si="5"/>
        <v>1</v>
      </c>
      <c r="E38" s="259">
        <f t="shared" si="5"/>
        <v>10</v>
      </c>
      <c r="F38" s="1409">
        <f t="shared" si="5"/>
        <v>80000000</v>
      </c>
      <c r="G38" s="105">
        <f t="shared" si="5"/>
        <v>16000</v>
      </c>
      <c r="H38" s="1432">
        <v>2.5999999999999998E-4</v>
      </c>
      <c r="I38" s="262">
        <f t="shared" ref="I38:I39" si="6">$G38*H38</f>
        <v>4.1599999999999993</v>
      </c>
      <c r="J38" s="342"/>
      <c r="K38" s="342"/>
      <c r="M38" s="1507"/>
    </row>
    <row r="39" spans="1:13">
      <c r="A39" s="325"/>
      <c r="B39" s="258" t="str">
        <f>B21</f>
        <v>Hệ quản trị dữ liệu không gian</v>
      </c>
      <c r="C39" s="259" t="str">
        <f>C21</f>
        <v>Bộ</v>
      </c>
      <c r="D39" s="259"/>
      <c r="E39" s="259">
        <f>E21</f>
        <v>10</v>
      </c>
      <c r="F39" s="1409">
        <f>F21</f>
        <v>357000000</v>
      </c>
      <c r="G39" s="105">
        <f>G21</f>
        <v>71400</v>
      </c>
      <c r="H39" s="1432">
        <v>2.5999999999999998E-4</v>
      </c>
      <c r="I39" s="262">
        <f t="shared" si="6"/>
        <v>18.564</v>
      </c>
      <c r="J39" s="342"/>
      <c r="K39" s="342"/>
      <c r="M39" s="1507"/>
    </row>
    <row r="40" spans="1:13">
      <c r="A40" s="325"/>
      <c r="B40" s="258" t="s">
        <v>24</v>
      </c>
      <c r="C40" s="259" t="s">
        <v>130</v>
      </c>
      <c r="D40" s="259">
        <f>Gia_Tbi!$D$6</f>
        <v>2.2000000000000002</v>
      </c>
      <c r="E40" s="259">
        <f>Gia_Tbi!$E$6</f>
        <v>8</v>
      </c>
      <c r="F40" s="1410">
        <f>Gia_Tbi!$F$6</f>
        <v>12000000</v>
      </c>
      <c r="G40" s="105">
        <f>Gia_Tbi!$G$6</f>
        <v>3000</v>
      </c>
      <c r="H40" s="1432">
        <v>8.7000000000000001E-5</v>
      </c>
      <c r="I40" s="262">
        <f>$G40*H40</f>
        <v>0.26100000000000001</v>
      </c>
      <c r="J40" s="342"/>
      <c r="K40" s="342"/>
      <c r="M40" s="1507"/>
    </row>
    <row r="41" spans="1:13">
      <c r="A41" s="325"/>
      <c r="B41" s="263" t="s">
        <v>8</v>
      </c>
      <c r="C41" s="264" t="s">
        <v>147</v>
      </c>
      <c r="D41" s="264"/>
      <c r="E41" s="265"/>
      <c r="F41" s="266">
        <f>Gia_Tbi!$F$13</f>
        <v>1686</v>
      </c>
      <c r="G41" s="267">
        <f>Gia_Tbi!$G$13</f>
        <v>13488</v>
      </c>
      <c r="H41" s="1434">
        <v>8.6700000000000004E-4</v>
      </c>
      <c r="I41" s="262">
        <f>$G41*H41</f>
        <v>11.694096</v>
      </c>
      <c r="J41" s="349"/>
      <c r="K41" s="349">
        <f>I41</f>
        <v>11.694096</v>
      </c>
      <c r="L41" s="350"/>
      <c r="M41" s="1507"/>
    </row>
    <row r="42" spans="1:13" s="257" customFormat="1">
      <c r="A42" s="1160" t="str">
        <f>'Nhân công 17-&gt;75'!A13</f>
        <v>3.2</v>
      </c>
      <c r="B42" s="1163" t="str">
        <f>'Nhân công 17-&gt;75'!B13</f>
        <v>Rà soát, bổ sung dữ liệu thuộc tính địa chính</v>
      </c>
      <c r="C42" s="1155"/>
      <c r="D42" s="1155"/>
      <c r="E42" s="1155"/>
      <c r="F42" s="1156"/>
      <c r="G42" s="1156"/>
      <c r="H42" s="1433"/>
      <c r="I42" s="1158"/>
      <c r="J42" s="1159">
        <f>SUM(I43:I46)</f>
        <v>99.87825939999999</v>
      </c>
      <c r="K42" s="1159"/>
      <c r="M42" s="1507"/>
    </row>
    <row r="43" spans="1:13">
      <c r="A43" s="325"/>
      <c r="B43" s="258" t="s">
        <v>73</v>
      </c>
      <c r="C43" s="259" t="s">
        <v>130</v>
      </c>
      <c r="D43" s="259">
        <f>Gia_Tbi!$D$4</f>
        <v>0.4</v>
      </c>
      <c r="E43" s="259">
        <f>Gia_Tbi!$E$4</f>
        <v>5</v>
      </c>
      <c r="F43" s="1410">
        <f>Gia_Tbi!$F$4</f>
        <v>10000000</v>
      </c>
      <c r="G43" s="105">
        <f>Gia_Tbi!$G$4</f>
        <v>4000</v>
      </c>
      <c r="H43" s="1432">
        <v>1.048E-2</v>
      </c>
      <c r="I43" s="262">
        <f>$G43*H43</f>
        <v>41.92</v>
      </c>
      <c r="J43" s="342"/>
      <c r="K43" s="342"/>
      <c r="M43" s="1507"/>
    </row>
    <row r="44" spans="1:13">
      <c r="A44" s="325"/>
      <c r="B44" s="258" t="str">
        <f t="shared" ref="B44:G44" si="7">B38</f>
        <v>Máy chủ</v>
      </c>
      <c r="C44" s="259" t="str">
        <f t="shared" si="7"/>
        <v>Cái</v>
      </c>
      <c r="D44" s="259">
        <f t="shared" si="7"/>
        <v>1</v>
      </c>
      <c r="E44" s="259">
        <f t="shared" si="7"/>
        <v>10</v>
      </c>
      <c r="F44" s="1409">
        <f t="shared" si="7"/>
        <v>80000000</v>
      </c>
      <c r="G44" s="105">
        <f t="shared" si="7"/>
        <v>16000</v>
      </c>
      <c r="H44" s="1432">
        <v>2.7369999999999998E-3</v>
      </c>
      <c r="I44" s="262">
        <f t="shared" ref="I44:I45" si="8">$G44*H44</f>
        <v>43.791999999999994</v>
      </c>
      <c r="J44" s="342"/>
      <c r="K44" s="342"/>
      <c r="M44" s="1507"/>
    </row>
    <row r="45" spans="1:13">
      <c r="A45" s="325"/>
      <c r="B45" s="258" t="str">
        <f>B27</f>
        <v>Hệ quản trị cơ sở dữ liệu thuộc tính</v>
      </c>
      <c r="C45" s="259" t="str">
        <f>C27</f>
        <v>Bộ</v>
      </c>
      <c r="D45" s="259"/>
      <c r="E45" s="259">
        <f>E27</f>
        <v>10</v>
      </c>
      <c r="F45" s="1409">
        <f>F27</f>
        <v>20881000</v>
      </c>
      <c r="G45" s="105">
        <f>G27</f>
        <v>4176.2</v>
      </c>
      <c r="H45" s="1432">
        <v>2.7369999999999998E-3</v>
      </c>
      <c r="I45" s="262">
        <f t="shared" si="8"/>
        <v>11.430259399999999</v>
      </c>
      <c r="J45" s="342"/>
      <c r="K45" s="342"/>
      <c r="M45" s="1507"/>
    </row>
    <row r="46" spans="1:13">
      <c r="A46" s="325"/>
      <c r="B46" s="258" t="s">
        <v>24</v>
      </c>
      <c r="C46" s="259" t="s">
        <v>130</v>
      </c>
      <c r="D46" s="259">
        <f>Gia_Tbi!$D$6</f>
        <v>2.2000000000000002</v>
      </c>
      <c r="E46" s="259">
        <f>Gia_Tbi!$E$6</f>
        <v>8</v>
      </c>
      <c r="F46" s="1410">
        <f>Gia_Tbi!$F$6</f>
        <v>12000000</v>
      </c>
      <c r="G46" s="105">
        <f>Gia_Tbi!$G$6</f>
        <v>3000</v>
      </c>
      <c r="H46" s="1432">
        <v>9.1200000000000005E-4</v>
      </c>
      <c r="I46" s="262">
        <f>$G46*H46</f>
        <v>2.7360000000000002</v>
      </c>
      <c r="J46" s="342"/>
      <c r="K46" s="342"/>
      <c r="M46" s="1507"/>
    </row>
    <row r="47" spans="1:13">
      <c r="A47" s="325"/>
      <c r="B47" s="263" t="s">
        <v>8</v>
      </c>
      <c r="C47" s="264" t="s">
        <v>147</v>
      </c>
      <c r="D47" s="264"/>
      <c r="E47" s="265"/>
      <c r="F47" s="266">
        <f>Gia_Tbi!$F$13</f>
        <v>1686</v>
      </c>
      <c r="G47" s="267">
        <f>Gia_Tbi!$G$13</f>
        <v>13488</v>
      </c>
      <c r="H47" s="1434">
        <v>9.1240000000000002E-3</v>
      </c>
      <c r="I47" s="262">
        <f>$G47*H47</f>
        <v>123.06451200000001</v>
      </c>
      <c r="J47" s="349"/>
      <c r="K47" s="349">
        <f>I47</f>
        <v>123.06451200000001</v>
      </c>
      <c r="L47" s="350"/>
      <c r="M47" s="1507"/>
    </row>
    <row r="48" spans="1:13" s="257" customFormat="1" ht="31.5">
      <c r="A48" s="1160" t="str">
        <f>'Nhân công 17-&gt;75'!A14</f>
        <v>3.3</v>
      </c>
      <c r="B48" s="1163" t="str">
        <f>'Nhân công 17-&gt;75'!B14</f>
        <v>Thực hiện hoàn thiện 100% thông tin trong CSDL đã được chuyển đổi, bổ sung</v>
      </c>
      <c r="C48" s="1155"/>
      <c r="D48" s="1155"/>
      <c r="E48" s="1155"/>
      <c r="F48" s="1156"/>
      <c r="G48" s="1156"/>
      <c r="H48" s="1433"/>
      <c r="I48" s="1158"/>
      <c r="J48" s="1159">
        <f>SUM(I49:I53)</f>
        <v>28.314240000000005</v>
      </c>
      <c r="K48" s="1159"/>
      <c r="M48" s="1507"/>
    </row>
    <row r="49" spans="1:13">
      <c r="A49" s="325"/>
      <c r="B49" s="258" t="s">
        <v>73</v>
      </c>
      <c r="C49" s="259" t="s">
        <v>130</v>
      </c>
      <c r="D49" s="259">
        <f>Gia_Tbi!$D$4</f>
        <v>0.4</v>
      </c>
      <c r="E49" s="259">
        <f>Gia_Tbi!$E$4</f>
        <v>5</v>
      </c>
      <c r="F49" s="1410">
        <f>Gia_Tbi!$F$4</f>
        <v>10000000</v>
      </c>
      <c r="G49" s="105">
        <f>Gia_Tbi!$G$4</f>
        <v>4000</v>
      </c>
      <c r="H49" s="1432">
        <v>1.6000000000000001E-3</v>
      </c>
      <c r="I49" s="262">
        <f>$G49*H49</f>
        <v>6.4</v>
      </c>
      <c r="J49" s="342"/>
      <c r="K49" s="342"/>
      <c r="M49" s="1507"/>
    </row>
    <row r="50" spans="1:13">
      <c r="A50" s="325"/>
      <c r="B50" s="258" t="str">
        <f t="shared" ref="B50:G50" si="9">B44</f>
        <v>Máy chủ</v>
      </c>
      <c r="C50" s="259" t="str">
        <f t="shared" si="9"/>
        <v>Cái</v>
      </c>
      <c r="D50" s="259">
        <f t="shared" si="9"/>
        <v>1</v>
      </c>
      <c r="E50" s="259">
        <f t="shared" si="9"/>
        <v>10</v>
      </c>
      <c r="F50" s="1409">
        <f t="shared" si="9"/>
        <v>80000000</v>
      </c>
      <c r="G50" s="105">
        <f t="shared" si="9"/>
        <v>16000</v>
      </c>
      <c r="H50" s="1432">
        <v>4.0000000000000002E-4</v>
      </c>
      <c r="I50" s="262">
        <f t="shared" ref="I50:I52" si="10">$G50*H50</f>
        <v>6.4</v>
      </c>
      <c r="J50" s="342"/>
      <c r="K50" s="342"/>
      <c r="M50" s="1507"/>
    </row>
    <row r="51" spans="1:13">
      <c r="A51" s="325"/>
      <c r="B51" s="258" t="str">
        <f>B45</f>
        <v>Hệ quản trị cơ sở dữ liệu thuộc tính</v>
      </c>
      <c r="C51" s="259" t="str">
        <f>C45</f>
        <v>Bộ</v>
      </c>
      <c r="D51" s="259"/>
      <c r="E51" s="259">
        <f>E45</f>
        <v>10</v>
      </c>
      <c r="F51" s="1409">
        <f>F45</f>
        <v>20881000</v>
      </c>
      <c r="G51" s="105">
        <f>G45</f>
        <v>4176.2</v>
      </c>
      <c r="H51" s="1432">
        <v>2.0000000000000001E-4</v>
      </c>
      <c r="I51" s="262">
        <f t="shared" si="10"/>
        <v>0.83523999999999998</v>
      </c>
      <c r="J51" s="342"/>
      <c r="K51" s="342"/>
      <c r="M51" s="1507"/>
    </row>
    <row r="52" spans="1:13">
      <c r="A52" s="325"/>
      <c r="B52" s="258" t="str">
        <f>B39</f>
        <v>Hệ quản trị dữ liệu không gian</v>
      </c>
      <c r="C52" s="259" t="str">
        <f>C39</f>
        <v>Bộ</v>
      </c>
      <c r="D52" s="259"/>
      <c r="E52" s="259">
        <f>E39</f>
        <v>10</v>
      </c>
      <c r="F52" s="1409">
        <f>F39</f>
        <v>357000000</v>
      </c>
      <c r="G52" s="105">
        <f>G39</f>
        <v>71400</v>
      </c>
      <c r="H52" s="1432">
        <v>2.0000000000000001E-4</v>
      </c>
      <c r="I52" s="262">
        <f t="shared" si="10"/>
        <v>14.280000000000001</v>
      </c>
      <c r="J52" s="342"/>
      <c r="K52" s="342"/>
      <c r="M52" s="1507"/>
    </row>
    <row r="53" spans="1:13">
      <c r="A53" s="325"/>
      <c r="B53" s="258" t="s">
        <v>24</v>
      </c>
      <c r="C53" s="259" t="s">
        <v>130</v>
      </c>
      <c r="D53" s="259">
        <f>Gia_Tbi!$D$6</f>
        <v>2.2000000000000002</v>
      </c>
      <c r="E53" s="259">
        <f>Gia_Tbi!$E$6</f>
        <v>8</v>
      </c>
      <c r="F53" s="1410">
        <f>Gia_Tbi!$F$6</f>
        <v>12000000</v>
      </c>
      <c r="G53" s="105">
        <f>Gia_Tbi!$G$6</f>
        <v>3000</v>
      </c>
      <c r="H53" s="1432">
        <v>1.3300000000000001E-4</v>
      </c>
      <c r="I53" s="262">
        <f>$G53*H53</f>
        <v>0.39900000000000002</v>
      </c>
      <c r="J53" s="342"/>
      <c r="K53" s="342"/>
      <c r="M53" s="1507"/>
    </row>
    <row r="54" spans="1:13">
      <c r="A54" s="325"/>
      <c r="B54" s="263" t="s">
        <v>8</v>
      </c>
      <c r="C54" s="264" t="s">
        <v>147</v>
      </c>
      <c r="D54" s="264"/>
      <c r="E54" s="265"/>
      <c r="F54" s="266">
        <f>Gia_Tbi!$F$13</f>
        <v>1686</v>
      </c>
      <c r="G54" s="267">
        <f>Gia_Tbi!$G$13</f>
        <v>13488</v>
      </c>
      <c r="H54" s="1434">
        <v>1.333E-3</v>
      </c>
      <c r="I54" s="262">
        <f>$G54*H54</f>
        <v>17.979503999999999</v>
      </c>
      <c r="J54" s="349"/>
      <c r="K54" s="349">
        <f>I54</f>
        <v>17.979503999999999</v>
      </c>
      <c r="L54" s="350"/>
      <c r="M54" s="1507"/>
    </row>
    <row r="55" spans="1:13" s="257" customFormat="1" ht="31.5">
      <c r="A55" s="1160" t="str">
        <f>'Nhân công 17-&gt;75'!A15</f>
        <v>3.4</v>
      </c>
      <c r="B55" s="1163" t="str">
        <f>'Nhân công 17-&gt;75'!B15</f>
        <v>Thực hiện xuất Sổ địa chính (điện tử) đối với những thửa đất chưa có Sổ địa chính (điện tử)</v>
      </c>
      <c r="C55" s="1155"/>
      <c r="D55" s="1155"/>
      <c r="E55" s="1155"/>
      <c r="F55" s="1156"/>
      <c r="G55" s="1156"/>
      <c r="H55" s="1433"/>
      <c r="I55" s="1158"/>
      <c r="J55" s="1159">
        <f>SUM(I56:I59)</f>
        <v>20.089100000000002</v>
      </c>
      <c r="K55" s="1159"/>
      <c r="M55" s="1507"/>
    </row>
    <row r="56" spans="1:13">
      <c r="A56" s="325"/>
      <c r="B56" s="258" t="s">
        <v>73</v>
      </c>
      <c r="C56" s="259" t="s">
        <v>130</v>
      </c>
      <c r="D56" s="259">
        <f>Gia_Tbi!$D$4</f>
        <v>0.4</v>
      </c>
      <c r="E56" s="259">
        <f>Gia_Tbi!$E$4</f>
        <v>5</v>
      </c>
      <c r="F56" s="1410">
        <f>Gia_Tbi!$F$4</f>
        <v>10000000</v>
      </c>
      <c r="G56" s="105">
        <f>Gia_Tbi!$G$4</f>
        <v>4000</v>
      </c>
      <c r="H56" s="1432">
        <v>2E-3</v>
      </c>
      <c r="I56" s="262">
        <f>$G56*H56</f>
        <v>8</v>
      </c>
      <c r="J56" s="342"/>
      <c r="K56" s="342"/>
      <c r="M56" s="1507"/>
    </row>
    <row r="57" spans="1:13">
      <c r="A57" s="325"/>
      <c r="B57" s="258" t="str">
        <f t="shared" ref="B57:G57" si="11">B50</f>
        <v>Máy chủ</v>
      </c>
      <c r="C57" s="259" t="str">
        <f t="shared" si="11"/>
        <v>Cái</v>
      </c>
      <c r="D57" s="259">
        <f t="shared" si="11"/>
        <v>1</v>
      </c>
      <c r="E57" s="259">
        <f t="shared" si="11"/>
        <v>10</v>
      </c>
      <c r="F57" s="1409">
        <f t="shared" si="11"/>
        <v>80000000</v>
      </c>
      <c r="G57" s="105">
        <f t="shared" si="11"/>
        <v>16000</v>
      </c>
      <c r="H57" s="1432">
        <v>5.0000000000000001E-4</v>
      </c>
      <c r="I57" s="262">
        <f t="shared" ref="I57:I58" si="12">$G57*H57</f>
        <v>8</v>
      </c>
      <c r="J57" s="342"/>
      <c r="K57" s="342"/>
      <c r="M57" s="1507"/>
    </row>
    <row r="58" spans="1:13">
      <c r="A58" s="325"/>
      <c r="B58" s="258" t="str">
        <f>B51</f>
        <v>Hệ quản trị cơ sở dữ liệu thuộc tính</v>
      </c>
      <c r="C58" s="259" t="str">
        <f>C51</f>
        <v>Bộ</v>
      </c>
      <c r="D58" s="259"/>
      <c r="E58" s="259">
        <f>E51</f>
        <v>10</v>
      </c>
      <c r="F58" s="1409">
        <f>F51</f>
        <v>20881000</v>
      </c>
      <c r="G58" s="105">
        <f>G51</f>
        <v>4176.2</v>
      </c>
      <c r="H58" s="1432">
        <v>5.0000000000000001E-4</v>
      </c>
      <c r="I58" s="262">
        <f t="shared" si="12"/>
        <v>2.0880999999999998</v>
      </c>
      <c r="J58" s="342"/>
      <c r="K58" s="342"/>
      <c r="M58" s="1507"/>
    </row>
    <row r="59" spans="1:13">
      <c r="A59" s="325"/>
      <c r="B59" s="258" t="s">
        <v>24</v>
      </c>
      <c r="C59" s="259" t="s">
        <v>130</v>
      </c>
      <c r="D59" s="259">
        <f>Gia_Tbi!$D$6</f>
        <v>2.2000000000000002</v>
      </c>
      <c r="E59" s="259">
        <f>Gia_Tbi!$E$6</f>
        <v>8</v>
      </c>
      <c r="F59" s="1410">
        <f>Gia_Tbi!$F$6</f>
        <v>12000000</v>
      </c>
      <c r="G59" s="105">
        <f>Gia_Tbi!$G$6</f>
        <v>3000</v>
      </c>
      <c r="H59" s="1432">
        <v>6.6699999999999995E-4</v>
      </c>
      <c r="I59" s="262">
        <f>$G59*H59</f>
        <v>2.0009999999999999</v>
      </c>
      <c r="J59" s="342"/>
      <c r="K59" s="342"/>
      <c r="M59" s="1507"/>
    </row>
    <row r="60" spans="1:13">
      <c r="A60" s="325"/>
      <c r="B60" s="263" t="s">
        <v>8</v>
      </c>
      <c r="C60" s="264" t="s">
        <v>147</v>
      </c>
      <c r="D60" s="264"/>
      <c r="E60" s="265"/>
      <c r="F60" s="266">
        <f>Gia_Tbi!$F$13</f>
        <v>1686</v>
      </c>
      <c r="G60" s="267">
        <f>Gia_Tbi!$G$13</f>
        <v>13488</v>
      </c>
      <c r="H60" s="1434">
        <v>2.7669999999999999E-3</v>
      </c>
      <c r="I60" s="262">
        <f>$G60*H60</f>
        <v>37.321295999999997</v>
      </c>
      <c r="J60" s="349"/>
      <c r="K60" s="349">
        <f>I60</f>
        <v>37.321295999999997</v>
      </c>
      <c r="L60" s="350"/>
      <c r="M60" s="1507"/>
    </row>
    <row r="61" spans="1:13" s="257" customFormat="1">
      <c r="A61" s="326">
        <f>'Nhân công 17-&gt;75'!A16</f>
        <v>4</v>
      </c>
      <c r="B61" s="268" t="str">
        <f>'Nhân công 17-&gt;75'!B16</f>
        <v>Xây dựng siêu dữ liệu địa chính</v>
      </c>
      <c r="C61" s="1155"/>
      <c r="D61" s="1155"/>
      <c r="E61" s="1155"/>
      <c r="F61" s="1156"/>
      <c r="G61" s="1156"/>
      <c r="H61" s="1433"/>
      <c r="I61" s="1158"/>
      <c r="J61" s="1159"/>
      <c r="K61" s="1159"/>
      <c r="M61" s="1507"/>
    </row>
    <row r="62" spans="1:13" s="257" customFormat="1">
      <c r="A62" s="1160" t="str">
        <f>'Nhân công 17-&gt;75'!A17</f>
        <v>4.1</v>
      </c>
      <c r="B62" s="1249" t="str">
        <f>'Nhân công 17-&gt;75'!B17</f>
        <v>Chuyển đổi siêu dữ liệu địa chính</v>
      </c>
      <c r="C62" s="1155"/>
      <c r="D62" s="1155"/>
      <c r="E62" s="1155"/>
      <c r="F62" s="1156"/>
      <c r="G62" s="1156"/>
      <c r="H62" s="1433"/>
      <c r="I62" s="1158"/>
      <c r="J62" s="1159">
        <f>SUM(I63:I66)</f>
        <v>0.74452400000000007</v>
      </c>
      <c r="K62" s="1159"/>
      <c r="M62" s="1507"/>
    </row>
    <row r="63" spans="1:13">
      <c r="A63" s="325"/>
      <c r="B63" s="258" t="s">
        <v>73</v>
      </c>
      <c r="C63" s="259" t="s">
        <v>130</v>
      </c>
      <c r="D63" s="259">
        <f>Gia_Tbi!$D$4</f>
        <v>0.4</v>
      </c>
      <c r="E63" s="259">
        <f>Gia_Tbi!$E$4</f>
        <v>5</v>
      </c>
      <c r="F63" s="105">
        <f>Gia_Tbi!$F$4</f>
        <v>10000000</v>
      </c>
      <c r="G63" s="105">
        <f>Gia_Tbi!$G$4</f>
        <v>4000</v>
      </c>
      <c r="H63" s="1432">
        <v>8.0000000000000007E-5</v>
      </c>
      <c r="I63" s="262">
        <f>$G63*H63</f>
        <v>0.32</v>
      </c>
      <c r="J63" s="342"/>
      <c r="K63" s="342"/>
      <c r="M63" s="1507"/>
    </row>
    <row r="64" spans="1:13">
      <c r="A64" s="325"/>
      <c r="B64" s="258" t="str">
        <f t="shared" ref="B64:G64" si="13">B57</f>
        <v>Máy chủ</v>
      </c>
      <c r="C64" s="259" t="str">
        <f t="shared" si="13"/>
        <v>Cái</v>
      </c>
      <c r="D64" s="259">
        <f t="shared" si="13"/>
        <v>1</v>
      </c>
      <c r="E64" s="259">
        <f t="shared" si="13"/>
        <v>10</v>
      </c>
      <c r="F64" s="105">
        <f t="shared" si="13"/>
        <v>80000000</v>
      </c>
      <c r="G64" s="105">
        <f t="shared" si="13"/>
        <v>16000</v>
      </c>
      <c r="H64" s="1432">
        <v>2.0000000000000002E-5</v>
      </c>
      <c r="I64" s="262">
        <f t="shared" ref="I64:I65" si="14">$G64*H64</f>
        <v>0.32</v>
      </c>
      <c r="J64" s="342"/>
      <c r="K64" s="342"/>
      <c r="M64" s="1507"/>
    </row>
    <row r="65" spans="1:13">
      <c r="A65" s="325"/>
      <c r="B65" s="258" t="str">
        <f>B58</f>
        <v>Hệ quản trị cơ sở dữ liệu thuộc tính</v>
      </c>
      <c r="C65" s="259" t="str">
        <f>C58</f>
        <v>Bộ</v>
      </c>
      <c r="D65" s="259"/>
      <c r="E65" s="259">
        <f>E58</f>
        <v>10</v>
      </c>
      <c r="F65" s="105">
        <f>F58</f>
        <v>20881000</v>
      </c>
      <c r="G65" s="105">
        <f>G58</f>
        <v>4176.2</v>
      </c>
      <c r="H65" s="1432">
        <v>2.0000000000000002E-5</v>
      </c>
      <c r="I65" s="262">
        <f t="shared" si="14"/>
        <v>8.3524000000000001E-2</v>
      </c>
      <c r="J65" s="342"/>
      <c r="K65" s="342"/>
      <c r="M65" s="1507"/>
    </row>
    <row r="66" spans="1:13">
      <c r="A66" s="325"/>
      <c r="B66" s="258" t="s">
        <v>24</v>
      </c>
      <c r="C66" s="259" t="s">
        <v>130</v>
      </c>
      <c r="D66" s="259">
        <f>Gia_Tbi!$D$6</f>
        <v>2.2000000000000002</v>
      </c>
      <c r="E66" s="259">
        <f>Gia_Tbi!$E$6</f>
        <v>8</v>
      </c>
      <c r="F66" s="105">
        <f>Gia_Tbi!$F$6</f>
        <v>12000000</v>
      </c>
      <c r="G66" s="105">
        <f>Gia_Tbi!$G$6</f>
        <v>3000</v>
      </c>
      <c r="H66" s="1432">
        <v>6.9999999999999999E-6</v>
      </c>
      <c r="I66" s="262">
        <f>$G66*H66</f>
        <v>2.1000000000000001E-2</v>
      </c>
      <c r="J66" s="342"/>
      <c r="K66" s="342"/>
      <c r="M66" s="1507"/>
    </row>
    <row r="67" spans="1:13">
      <c r="A67" s="325"/>
      <c r="B67" s="263" t="s">
        <v>8</v>
      </c>
      <c r="C67" s="264" t="s">
        <v>147</v>
      </c>
      <c r="D67" s="264"/>
      <c r="E67" s="265"/>
      <c r="F67" s="266">
        <f>Gia_Tbi!$F$13</f>
        <v>1686</v>
      </c>
      <c r="G67" s="267">
        <f>Gia_Tbi!$G$13</f>
        <v>13488</v>
      </c>
      <c r="H67" s="1434">
        <v>6.7000000000000002E-5</v>
      </c>
      <c r="I67" s="262">
        <f>$G67*H67</f>
        <v>0.90369600000000005</v>
      </c>
      <c r="J67" s="349"/>
      <c r="K67" s="349">
        <f>I67</f>
        <v>0.90369600000000005</v>
      </c>
      <c r="L67" s="350"/>
      <c r="M67" s="1507"/>
    </row>
    <row r="68" spans="1:13" s="257" customFormat="1" ht="31.5">
      <c r="A68" s="1160" t="str">
        <f>'Nhân công 17-&gt;75'!A18</f>
        <v>4.2</v>
      </c>
      <c r="B68" s="1163" t="str">
        <f>'Nhân công 17-&gt;75'!B18</f>
        <v>Thu nhận bổ sung các thông tin cần thiết để xây dựng siêu dữ liệu địa chính (thu nhận bổ sung thông tin)</v>
      </c>
      <c r="C68" s="1155"/>
      <c r="D68" s="1155"/>
      <c r="E68" s="1155"/>
      <c r="F68" s="1156"/>
      <c r="G68" s="1156"/>
      <c r="H68" s="1433"/>
      <c r="I68" s="1158"/>
      <c r="J68" s="1159">
        <f>SUM(I69:I70)</f>
        <v>6.375</v>
      </c>
      <c r="K68" s="1159"/>
      <c r="M68" s="1507"/>
    </row>
    <row r="69" spans="1:13">
      <c r="A69" s="325"/>
      <c r="B69" s="258" t="s">
        <v>73</v>
      </c>
      <c r="C69" s="259" t="s">
        <v>130</v>
      </c>
      <c r="D69" s="259">
        <f>Gia_Tbi!$D$4</f>
        <v>0.4</v>
      </c>
      <c r="E69" s="259">
        <f>Gia_Tbi!$E$4</f>
        <v>5</v>
      </c>
      <c r="F69" s="1410">
        <f>Gia_Tbi!$F$4</f>
        <v>10000000</v>
      </c>
      <c r="G69" s="105">
        <f>Gia_Tbi!$G$4</f>
        <v>4000</v>
      </c>
      <c r="H69" s="1432">
        <v>1.5E-3</v>
      </c>
      <c r="I69" s="262">
        <f>$G69*H69</f>
        <v>6</v>
      </c>
      <c r="J69" s="342"/>
      <c r="K69" s="342"/>
      <c r="M69" s="1507"/>
    </row>
    <row r="70" spans="1:13">
      <c r="A70" s="325"/>
      <c r="B70" s="258" t="s">
        <v>24</v>
      </c>
      <c r="C70" s="259" t="s">
        <v>130</v>
      </c>
      <c r="D70" s="259">
        <f>Gia_Tbi!$D$6</f>
        <v>2.2000000000000002</v>
      </c>
      <c r="E70" s="259">
        <f>Gia_Tbi!$E$6</f>
        <v>8</v>
      </c>
      <c r="F70" s="1410">
        <f>Gia_Tbi!$F$6</f>
        <v>12000000</v>
      </c>
      <c r="G70" s="105">
        <f>Gia_Tbi!$G$6</f>
        <v>3000</v>
      </c>
      <c r="H70" s="1432">
        <v>1.25E-4</v>
      </c>
      <c r="I70" s="262">
        <f>$G70*H70</f>
        <v>0.375</v>
      </c>
      <c r="J70" s="342"/>
      <c r="K70" s="342"/>
      <c r="M70" s="1507"/>
    </row>
    <row r="71" spans="1:13">
      <c r="A71" s="325"/>
      <c r="B71" s="263" t="s">
        <v>8</v>
      </c>
      <c r="C71" s="264" t="s">
        <v>147</v>
      </c>
      <c r="D71" s="264"/>
      <c r="E71" s="265"/>
      <c r="F71" s="1412">
        <f>Gia_Tbi!$F$13</f>
        <v>1686</v>
      </c>
      <c r="G71" s="109">
        <f>Gia_Tbi!$G$13</f>
        <v>13488</v>
      </c>
      <c r="H71" s="1434">
        <v>8.7500000000000002E-4</v>
      </c>
      <c r="I71" s="262">
        <f>$G71*H71</f>
        <v>11.802</v>
      </c>
      <c r="J71" s="349"/>
      <c r="K71" s="349">
        <f>I71</f>
        <v>11.802</v>
      </c>
      <c r="L71" s="350"/>
      <c r="M71" s="1507"/>
    </row>
    <row r="72" spans="1:13" s="257" customFormat="1" ht="31.5">
      <c r="A72" s="1160" t="str">
        <f>'Nhân công 17-&gt;75'!A19</f>
        <v>4.3</v>
      </c>
      <c r="B72" s="1163" t="str">
        <f>'Nhân công 17-&gt;75'!B19</f>
        <v>Nhập bổ sung thông tin siêu dữ liệu địa chính cho từng đơn vị hành chính cấp xã</v>
      </c>
      <c r="C72" s="1155"/>
      <c r="D72" s="1155"/>
      <c r="E72" s="1155"/>
      <c r="F72" s="1156"/>
      <c r="G72" s="1156"/>
      <c r="H72" s="1433"/>
      <c r="I72" s="1158"/>
      <c r="J72" s="1159">
        <f>SUM(I73:I76)</f>
        <v>0.74452400000000007</v>
      </c>
      <c r="K72" s="1159"/>
      <c r="M72" s="1507"/>
    </row>
    <row r="73" spans="1:13">
      <c r="A73" s="325"/>
      <c r="B73" s="258" t="s">
        <v>73</v>
      </c>
      <c r="C73" s="259" t="s">
        <v>130</v>
      </c>
      <c r="D73" s="259">
        <f>Gia_Tbi!$D$4</f>
        <v>0.4</v>
      </c>
      <c r="E73" s="259">
        <f>Gia_Tbi!$E$4</f>
        <v>5</v>
      </c>
      <c r="F73" s="1410">
        <f>Gia_Tbi!$F$4</f>
        <v>10000000</v>
      </c>
      <c r="G73" s="105">
        <f>Gia_Tbi!$G$4</f>
        <v>4000</v>
      </c>
      <c r="H73" s="1432">
        <v>8.0000000000000007E-5</v>
      </c>
      <c r="I73" s="262">
        <f>$G73*H73</f>
        <v>0.32</v>
      </c>
      <c r="J73" s="342"/>
      <c r="K73" s="342"/>
      <c r="M73" s="1507"/>
    </row>
    <row r="74" spans="1:13">
      <c r="A74" s="325"/>
      <c r="B74" s="258" t="str">
        <f t="shared" ref="B74:G74" si="15">B64</f>
        <v>Máy chủ</v>
      </c>
      <c r="C74" s="259" t="str">
        <f t="shared" si="15"/>
        <v>Cái</v>
      </c>
      <c r="D74" s="259">
        <f t="shared" si="15"/>
        <v>1</v>
      </c>
      <c r="E74" s="259">
        <f t="shared" si="15"/>
        <v>10</v>
      </c>
      <c r="F74" s="1409">
        <f t="shared" si="15"/>
        <v>80000000</v>
      </c>
      <c r="G74" s="105">
        <f t="shared" si="15"/>
        <v>16000</v>
      </c>
      <c r="H74" s="1432">
        <v>2.0000000000000002E-5</v>
      </c>
      <c r="I74" s="262">
        <f t="shared" ref="I74:I75" si="16">$G74*H74</f>
        <v>0.32</v>
      </c>
      <c r="J74" s="342"/>
      <c r="K74" s="342"/>
      <c r="M74" s="1507"/>
    </row>
    <row r="75" spans="1:13">
      <c r="A75" s="325"/>
      <c r="B75" s="258" t="str">
        <f>B65</f>
        <v>Hệ quản trị cơ sở dữ liệu thuộc tính</v>
      </c>
      <c r="C75" s="259" t="str">
        <f>C65</f>
        <v>Bộ</v>
      </c>
      <c r="D75" s="259"/>
      <c r="E75" s="259">
        <f>E65</f>
        <v>10</v>
      </c>
      <c r="F75" s="1409">
        <f>F65</f>
        <v>20881000</v>
      </c>
      <c r="G75" s="105">
        <f>G65</f>
        <v>4176.2</v>
      </c>
      <c r="H75" s="1432">
        <v>2.0000000000000002E-5</v>
      </c>
      <c r="I75" s="262">
        <f t="shared" si="16"/>
        <v>8.3524000000000001E-2</v>
      </c>
      <c r="J75" s="342"/>
      <c r="K75" s="342"/>
      <c r="M75" s="1507"/>
    </row>
    <row r="76" spans="1:13">
      <c r="A76" s="325"/>
      <c r="B76" s="258" t="s">
        <v>24</v>
      </c>
      <c r="C76" s="259" t="s">
        <v>130</v>
      </c>
      <c r="D76" s="259">
        <f>Gia_Tbi!$D$6</f>
        <v>2.2000000000000002</v>
      </c>
      <c r="E76" s="259">
        <f>Gia_Tbi!$E$6</f>
        <v>8</v>
      </c>
      <c r="F76" s="1410">
        <f>Gia_Tbi!$F$6</f>
        <v>12000000</v>
      </c>
      <c r="G76" s="105">
        <f>Gia_Tbi!$G$6</f>
        <v>3000</v>
      </c>
      <c r="H76" s="1432">
        <v>6.9999999999999999E-6</v>
      </c>
      <c r="I76" s="262">
        <f>$G76*H76</f>
        <v>2.1000000000000001E-2</v>
      </c>
      <c r="J76" s="342"/>
      <c r="K76" s="342"/>
      <c r="M76" s="1507"/>
    </row>
    <row r="77" spans="1:13">
      <c r="A77" s="325"/>
      <c r="B77" s="263" t="s">
        <v>8</v>
      </c>
      <c r="C77" s="264" t="s">
        <v>147</v>
      </c>
      <c r="D77" s="264"/>
      <c r="E77" s="265"/>
      <c r="F77" s="266">
        <f>Gia_Tbi!$F$13</f>
        <v>1686</v>
      </c>
      <c r="G77" s="267">
        <f>Gia_Tbi!$G$13</f>
        <v>13488</v>
      </c>
      <c r="H77" s="1434">
        <v>6.7000000000000002E-5</v>
      </c>
      <c r="I77" s="262">
        <f>$G77*H77</f>
        <v>0.90369600000000005</v>
      </c>
      <c r="J77" s="349"/>
      <c r="K77" s="349">
        <f>I77</f>
        <v>0.90369600000000005</v>
      </c>
      <c r="L77" s="350"/>
      <c r="M77" s="1507"/>
    </row>
    <row r="78" spans="1:13" s="257" customFormat="1" ht="31.5">
      <c r="A78" s="326">
        <f>'Nhân công 17-&gt;75'!A20</f>
        <v>5</v>
      </c>
      <c r="B78" s="268" t="str">
        <f>'Nhân công 17-&gt;75'!B20</f>
        <v>Đối soát dữ liệu (do Văn phòng đăng ký đất đai thực hiện)</v>
      </c>
      <c r="C78" s="1155"/>
      <c r="D78" s="1155"/>
      <c r="E78" s="1155"/>
      <c r="F78" s="1156"/>
      <c r="G78" s="1156"/>
      <c r="H78" s="1433"/>
      <c r="I78" s="1158"/>
      <c r="J78" s="1159"/>
      <c r="K78" s="1159"/>
      <c r="M78" s="1507"/>
    </row>
    <row r="79" spans="1:13" s="257" customFormat="1" ht="63">
      <c r="A79" s="1160" t="str">
        <f>'Nhân công 17-&gt;75'!A21</f>
        <v>5.1</v>
      </c>
      <c r="B79" s="1163" t="str">
        <f>'Nhân công 17-&gt;75'!B21</f>
        <v>Đối soát thông tin của thửa đất trong CSDL đã được chuyển đổi, bổ sung với nguồn tài liệu, dữ liệu đã sử dụng để xây dựng CSDL đối với trường hợp phải xuất mới sổ địa chính (điện tử)</v>
      </c>
      <c r="C79" s="1155"/>
      <c r="D79" s="1155"/>
      <c r="E79" s="1155"/>
      <c r="F79" s="1156"/>
      <c r="G79" s="1156"/>
      <c r="H79" s="1433"/>
      <c r="I79" s="1158"/>
      <c r="J79" s="1159">
        <f>SUM(I80:I83)</f>
        <v>37.175200000000004</v>
      </c>
      <c r="K79" s="1159"/>
      <c r="M79" s="1507"/>
    </row>
    <row r="80" spans="1:13">
      <c r="A80" s="325"/>
      <c r="B80" s="258" t="s">
        <v>73</v>
      </c>
      <c r="C80" s="259" t="s">
        <v>130</v>
      </c>
      <c r="D80" s="259">
        <f>Gia_Tbi!$D$4</f>
        <v>0.4</v>
      </c>
      <c r="E80" s="259">
        <f>Gia_Tbi!$E$4</f>
        <v>5</v>
      </c>
      <c r="F80" s="1410">
        <f>Gia_Tbi!$F$4</f>
        <v>10000000</v>
      </c>
      <c r="G80" s="105">
        <f>Gia_Tbi!$G$4</f>
        <v>4000</v>
      </c>
      <c r="H80" s="1432">
        <v>4.0000000000000001E-3</v>
      </c>
      <c r="I80" s="262">
        <f>$G80*H80</f>
        <v>16</v>
      </c>
      <c r="J80" s="342"/>
      <c r="K80" s="342"/>
      <c r="M80" s="1507"/>
    </row>
    <row r="81" spans="1:14">
      <c r="A81" s="325"/>
      <c r="B81" s="258" t="str">
        <f t="shared" ref="B81:G81" si="17">B74</f>
        <v>Máy chủ</v>
      </c>
      <c r="C81" s="259" t="str">
        <f t="shared" si="17"/>
        <v>Cái</v>
      </c>
      <c r="D81" s="259">
        <f t="shared" si="17"/>
        <v>1</v>
      </c>
      <c r="E81" s="259">
        <f t="shared" si="17"/>
        <v>10</v>
      </c>
      <c r="F81" s="1409">
        <f t="shared" si="17"/>
        <v>80000000</v>
      </c>
      <c r="G81" s="105">
        <f t="shared" si="17"/>
        <v>16000</v>
      </c>
      <c r="H81" s="1432">
        <v>1E-3</v>
      </c>
      <c r="I81" s="262">
        <f t="shared" ref="I81:I82" si="18">$G81*H81</f>
        <v>16</v>
      </c>
      <c r="J81" s="342"/>
      <c r="K81" s="342"/>
      <c r="M81" s="1507"/>
    </row>
    <row r="82" spans="1:14">
      <c r="A82" s="325"/>
      <c r="B82" s="258" t="str">
        <f>B75</f>
        <v>Hệ quản trị cơ sở dữ liệu thuộc tính</v>
      </c>
      <c r="C82" s="259" t="str">
        <f>C75</f>
        <v>Bộ</v>
      </c>
      <c r="D82" s="259"/>
      <c r="E82" s="259">
        <f>E75</f>
        <v>10</v>
      </c>
      <c r="F82" s="1409">
        <f>F75</f>
        <v>20881000</v>
      </c>
      <c r="G82" s="105">
        <f>G75</f>
        <v>4176.2</v>
      </c>
      <c r="H82" s="1432">
        <v>1E-3</v>
      </c>
      <c r="I82" s="262">
        <f t="shared" si="18"/>
        <v>4.1761999999999997</v>
      </c>
      <c r="J82" s="342"/>
      <c r="K82" s="342"/>
      <c r="M82" s="1507"/>
    </row>
    <row r="83" spans="1:14">
      <c r="A83" s="325"/>
      <c r="B83" s="258" t="s">
        <v>24</v>
      </c>
      <c r="C83" s="259" t="s">
        <v>130</v>
      </c>
      <c r="D83" s="259">
        <f>Gia_Tbi!$D$6</f>
        <v>2.2000000000000002</v>
      </c>
      <c r="E83" s="259">
        <f>Gia_Tbi!$E$6</f>
        <v>8</v>
      </c>
      <c r="F83" s="1410">
        <f>Gia_Tbi!$F$6</f>
        <v>12000000</v>
      </c>
      <c r="G83" s="105">
        <f>Gia_Tbi!$G$6</f>
        <v>3000</v>
      </c>
      <c r="H83" s="1432">
        <v>3.3300000000000002E-4</v>
      </c>
      <c r="I83" s="262">
        <f>$G83*H83</f>
        <v>0.999</v>
      </c>
      <c r="J83" s="342"/>
      <c r="K83" s="342"/>
      <c r="M83" s="1507"/>
    </row>
    <row r="84" spans="1:14">
      <c r="A84" s="325"/>
      <c r="B84" s="263" t="s">
        <v>8</v>
      </c>
      <c r="C84" s="264" t="s">
        <v>147</v>
      </c>
      <c r="D84" s="264"/>
      <c r="E84" s="265"/>
      <c r="F84" s="1412">
        <f>Gia_Tbi!$F$13</f>
        <v>1686</v>
      </c>
      <c r="G84" s="109">
        <f>Gia_Tbi!$G$13</f>
        <v>13488</v>
      </c>
      <c r="H84" s="1434">
        <v>3.333E-3</v>
      </c>
      <c r="I84" s="262">
        <f>$G84*H84</f>
        <v>44.955503999999998</v>
      </c>
      <c r="J84" s="349"/>
      <c r="K84" s="349">
        <f>I84</f>
        <v>44.955503999999998</v>
      </c>
      <c r="L84" s="350"/>
      <c r="M84" s="1507"/>
    </row>
    <row r="85" spans="1:14" s="257" customFormat="1" ht="31.5">
      <c r="A85" s="1160" t="str">
        <f>'Nhân công 17-&gt;75'!A22</f>
        <v>5.2</v>
      </c>
      <c r="B85" s="1163" t="str">
        <f>'Nhân công 17-&gt;75'!B22</f>
        <v>Thực hiện ký số vào Sổ địa chính (điện tử) đối với trường hợp xuất mới sổ địa chính (điện tử)</v>
      </c>
      <c r="C85" s="1155"/>
      <c r="D85" s="1155"/>
      <c r="E85" s="1155"/>
      <c r="F85" s="1156"/>
      <c r="G85" s="1156"/>
      <c r="H85" s="1433"/>
      <c r="I85" s="1158"/>
      <c r="J85" s="1159">
        <f>SUM(I86:I89)</f>
        <v>37.175200000000004</v>
      </c>
      <c r="K85" s="1159"/>
      <c r="M85" s="1507"/>
    </row>
    <row r="86" spans="1:14">
      <c r="A86" s="325"/>
      <c r="B86" s="258" t="s">
        <v>73</v>
      </c>
      <c r="C86" s="259" t="s">
        <v>130</v>
      </c>
      <c r="D86" s="259">
        <f>Gia_Tbi!$D$4</f>
        <v>0.4</v>
      </c>
      <c r="E86" s="259">
        <f>Gia_Tbi!$E$4</f>
        <v>5</v>
      </c>
      <c r="F86" s="1410">
        <f>Gia_Tbi!$F$4</f>
        <v>10000000</v>
      </c>
      <c r="G86" s="105">
        <f>Gia_Tbi!$G$4</f>
        <v>4000</v>
      </c>
      <c r="H86" s="1432">
        <v>4.0000000000000001E-3</v>
      </c>
      <c r="I86" s="262">
        <f>$G86*H86</f>
        <v>16</v>
      </c>
      <c r="J86" s="342"/>
      <c r="K86" s="342"/>
      <c r="M86" s="1507"/>
    </row>
    <row r="87" spans="1:14">
      <c r="A87" s="325"/>
      <c r="B87" s="258" t="str">
        <f t="shared" ref="B87:G87" si="19">B81</f>
        <v>Máy chủ</v>
      </c>
      <c r="C87" s="259" t="str">
        <f t="shared" si="19"/>
        <v>Cái</v>
      </c>
      <c r="D87" s="259">
        <f t="shared" si="19"/>
        <v>1</v>
      </c>
      <c r="E87" s="259">
        <f t="shared" si="19"/>
        <v>10</v>
      </c>
      <c r="F87" s="1409">
        <f t="shared" si="19"/>
        <v>80000000</v>
      </c>
      <c r="G87" s="105">
        <f t="shared" si="19"/>
        <v>16000</v>
      </c>
      <c r="H87" s="1432">
        <v>1E-3</v>
      </c>
      <c r="I87" s="262">
        <f t="shared" ref="I87:I88" si="20">$G87*H87</f>
        <v>16</v>
      </c>
      <c r="J87" s="342"/>
      <c r="K87" s="342"/>
      <c r="M87" s="1507"/>
    </row>
    <row r="88" spans="1:14">
      <c r="A88" s="325"/>
      <c r="B88" s="258" t="str">
        <f>B82</f>
        <v>Hệ quản trị cơ sở dữ liệu thuộc tính</v>
      </c>
      <c r="C88" s="259" t="str">
        <f>C82</f>
        <v>Bộ</v>
      </c>
      <c r="D88" s="259"/>
      <c r="E88" s="259">
        <f>E82</f>
        <v>10</v>
      </c>
      <c r="F88" s="1409">
        <f>F82</f>
        <v>20881000</v>
      </c>
      <c r="G88" s="105">
        <f>G82</f>
        <v>4176.2</v>
      </c>
      <c r="H88" s="1432">
        <v>1E-3</v>
      </c>
      <c r="I88" s="262">
        <f t="shared" si="20"/>
        <v>4.1761999999999997</v>
      </c>
      <c r="J88" s="342"/>
      <c r="K88" s="342"/>
      <c r="M88" s="1507"/>
    </row>
    <row r="89" spans="1:14">
      <c r="A89" s="325"/>
      <c r="B89" s="258" t="s">
        <v>24</v>
      </c>
      <c r="C89" s="259" t="s">
        <v>130</v>
      </c>
      <c r="D89" s="259">
        <f>Gia_Tbi!$D$6</f>
        <v>2.2000000000000002</v>
      </c>
      <c r="E89" s="259">
        <f>Gia_Tbi!$E$6</f>
        <v>8</v>
      </c>
      <c r="F89" s="1410">
        <f>Gia_Tbi!$F$6</f>
        <v>12000000</v>
      </c>
      <c r="G89" s="105">
        <f>Gia_Tbi!$G$6</f>
        <v>3000</v>
      </c>
      <c r="H89" s="1432">
        <v>3.3300000000000002E-4</v>
      </c>
      <c r="I89" s="262">
        <f>$G89*H89</f>
        <v>0.999</v>
      </c>
      <c r="J89" s="342"/>
      <c r="K89" s="342"/>
      <c r="M89" s="1507"/>
    </row>
    <row r="90" spans="1:14">
      <c r="A90" s="325"/>
      <c r="B90" s="263" t="s">
        <v>8</v>
      </c>
      <c r="C90" s="264" t="s">
        <v>147</v>
      </c>
      <c r="D90" s="264"/>
      <c r="E90" s="265"/>
      <c r="F90" s="266">
        <f>Gia_Tbi!$F$13</f>
        <v>1686</v>
      </c>
      <c r="G90" s="267">
        <f>Gia_Tbi!$G$13</f>
        <v>13488</v>
      </c>
      <c r="H90" s="1434">
        <v>3.333E-3</v>
      </c>
      <c r="I90" s="262">
        <f>$G90*H90</f>
        <v>44.955503999999998</v>
      </c>
      <c r="J90" s="349"/>
      <c r="K90" s="349">
        <f>I90</f>
        <v>44.955503999999998</v>
      </c>
      <c r="L90" s="350"/>
      <c r="M90" s="1507"/>
    </row>
    <row r="91" spans="1:14" s="257" customFormat="1">
      <c r="A91" s="326">
        <f>'Nhân công 17-&gt;75'!A23</f>
        <v>6</v>
      </c>
      <c r="B91" s="268" t="str">
        <f>'Nhân công 17-&gt;75'!B23</f>
        <v>Phục vụ kiểm tra, nghiệm thu CSDL địa chính</v>
      </c>
      <c r="C91" s="1155"/>
      <c r="D91" s="1155"/>
      <c r="E91" s="1155"/>
      <c r="F91" s="1156"/>
      <c r="G91" s="1156"/>
      <c r="H91" s="1433"/>
      <c r="I91" s="1158"/>
      <c r="J91" s="1159"/>
      <c r="K91" s="1159"/>
      <c r="M91" s="1507"/>
    </row>
    <row r="92" spans="1:14" s="257" customFormat="1" ht="63">
      <c r="A92" s="1160"/>
      <c r="B92" s="1163" t="str">
        <f>'Nhân công 17-&gt;75'!B24</f>
        <v>Chuẩn bị tư liệu, tài liệu và phục vụ giám sát, kiểm tra, nghiệm thu; tổng hợp, xác định khối lượng sản phẩm đã thực hiện khi kết thúc công trình; lập biên bản bàn giao dữ liệu địa chính</v>
      </c>
      <c r="C92" s="1155"/>
      <c r="D92" s="1155"/>
      <c r="E92" s="1155"/>
      <c r="F92" s="1156"/>
      <c r="G92" s="1156"/>
      <c r="H92" s="1433"/>
      <c r="I92" s="1158"/>
      <c r="J92" s="1159">
        <f>SUM(I93:I94)</f>
        <v>3.4010000000000002</v>
      </c>
      <c r="K92" s="1159"/>
      <c r="M92" s="1507"/>
    </row>
    <row r="93" spans="1:14">
      <c r="A93" s="325"/>
      <c r="B93" s="258" t="s">
        <v>73</v>
      </c>
      <c r="C93" s="259" t="s">
        <v>130</v>
      </c>
      <c r="D93" s="259">
        <f>Gia_Tbi!$D$4</f>
        <v>0.4</v>
      </c>
      <c r="E93" s="259">
        <f>Gia_Tbi!$E$4</f>
        <v>5</v>
      </c>
      <c r="F93" s="1410">
        <f>Gia_Tbi!$F$4</f>
        <v>10000000</v>
      </c>
      <c r="G93" s="105">
        <f>Gia_Tbi!$G$4</f>
        <v>4000</v>
      </c>
      <c r="H93" s="1432">
        <v>8.0000000000000004E-4</v>
      </c>
      <c r="I93" s="262">
        <f>$G93*H93</f>
        <v>3.2</v>
      </c>
      <c r="J93" s="342"/>
      <c r="K93" s="342"/>
      <c r="M93" s="1507"/>
    </row>
    <row r="94" spans="1:14">
      <c r="A94" s="325"/>
      <c r="B94" s="258" t="s">
        <v>24</v>
      </c>
      <c r="C94" s="259" t="s">
        <v>130</v>
      </c>
      <c r="D94" s="259">
        <f>Gia_Tbi!$D$6</f>
        <v>2.2000000000000002</v>
      </c>
      <c r="E94" s="259">
        <f>Gia_Tbi!$E$6</f>
        <v>8</v>
      </c>
      <c r="F94" s="1410">
        <f>Gia_Tbi!$F$6</f>
        <v>12000000</v>
      </c>
      <c r="G94" s="105">
        <f>Gia_Tbi!$G$6</f>
        <v>3000</v>
      </c>
      <c r="H94" s="1432">
        <v>6.7000000000000002E-5</v>
      </c>
      <c r="I94" s="262">
        <f>$G94*H94</f>
        <v>0.20100000000000001</v>
      </c>
      <c r="J94" s="342"/>
      <c r="K94" s="342"/>
      <c r="M94" s="1507"/>
    </row>
    <row r="95" spans="1:14">
      <c r="A95" s="325"/>
      <c r="B95" s="263" t="s">
        <v>8</v>
      </c>
      <c r="C95" s="264" t="s">
        <v>147</v>
      </c>
      <c r="D95" s="264"/>
      <c r="E95" s="265"/>
      <c r="F95" s="1412">
        <f>Gia_Tbi!$F$13</f>
        <v>1686</v>
      </c>
      <c r="G95" s="109">
        <f>Gia_Tbi!$G$13</f>
        <v>13488</v>
      </c>
      <c r="H95" s="1434">
        <v>4.6700000000000002E-4</v>
      </c>
      <c r="I95" s="262">
        <f>$G95*H95</f>
        <v>6.2988960000000001</v>
      </c>
      <c r="J95" s="349"/>
      <c r="K95" s="349">
        <f>I95</f>
        <v>6.2988960000000001</v>
      </c>
      <c r="L95" s="350"/>
      <c r="M95" s="1507"/>
      <c r="N95" s="1419"/>
    </row>
    <row r="96" spans="1:14">
      <c r="J96" s="1422">
        <f>SUM(J5:J95)</f>
        <v>275.63861940000004</v>
      </c>
      <c r="K96" s="1250">
        <f>SUM(K4:K95)</f>
        <v>315.98337600000002</v>
      </c>
      <c r="M96" s="1421"/>
      <c r="N96" s="1421"/>
    </row>
    <row r="97" spans="9:14">
      <c r="I97" s="286">
        <f>SUM(I5:I95)</f>
        <v>591.62199540000017</v>
      </c>
      <c r="J97" s="342">
        <f>J96*8000</f>
        <v>2205108.9552000002</v>
      </c>
      <c r="K97" s="342">
        <f>K96*8000</f>
        <v>2527867.0080000004</v>
      </c>
      <c r="M97" s="1421"/>
      <c r="N97" s="1421"/>
    </row>
    <row r="98" spans="9:14">
      <c r="J98" s="1308">
        <f>J97+K97</f>
        <v>4732975.963200001</v>
      </c>
      <c r="M98" s="1420"/>
      <c r="N98" s="1420"/>
    </row>
    <row r="105" spans="9:14">
      <c r="M105" s="245" t="s">
        <v>921</v>
      </c>
    </row>
  </sheetData>
  <mergeCells count="1">
    <mergeCell ref="A1:I1"/>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40"/>
  <sheetViews>
    <sheetView topLeftCell="A14" zoomScale="85" zoomScaleNormal="85" workbookViewId="0">
      <selection activeCell="H8" sqref="H8"/>
    </sheetView>
  </sheetViews>
  <sheetFormatPr defaultColWidth="9" defaultRowHeight="15"/>
  <cols>
    <col min="1" max="1" width="7.875" style="242" customWidth="1"/>
    <col min="2" max="2" width="51.625" style="12" customWidth="1"/>
    <col min="3" max="3" width="10.75" style="12" customWidth="1"/>
    <col min="4" max="4" width="12.875" style="242" customWidth="1"/>
    <col min="5" max="5" width="12.75" style="12" customWidth="1"/>
    <col min="6" max="6" width="12.75" style="1282" customWidth="1"/>
    <col min="7" max="7" width="17.25" style="12" customWidth="1"/>
    <col min="8" max="8" width="16.125" style="1055" customWidth="1"/>
    <col min="9" max="9" width="9" style="69" customWidth="1"/>
    <col min="10" max="10" width="14.25" style="244" customWidth="1"/>
    <col min="11" max="13" width="9" style="12" customWidth="1"/>
    <col min="14" max="14" width="18.25" style="12" bestFit="1" customWidth="1"/>
    <col min="15" max="15" width="9" style="12"/>
    <col min="16" max="16" width="13.625" style="12" bestFit="1" customWidth="1"/>
    <col min="17" max="16384" width="9" style="12"/>
  </cols>
  <sheetData>
    <row r="1" spans="1:16" ht="15.75">
      <c r="A1" s="1856" t="s">
        <v>88</v>
      </c>
      <c r="B1" s="1856"/>
      <c r="C1" s="1856"/>
      <c r="D1" s="1856"/>
      <c r="E1" s="1856"/>
      <c r="F1" s="1856"/>
      <c r="G1" s="1856"/>
      <c r="H1" s="1856"/>
      <c r="I1" s="1856"/>
      <c r="J1" s="1856"/>
    </row>
    <row r="2" spans="1:16" ht="16.5" thickBot="1">
      <c r="A2" s="30"/>
      <c r="B2" s="5"/>
      <c r="C2" s="5"/>
      <c r="D2" s="30"/>
      <c r="E2" s="5"/>
      <c r="F2" s="1277"/>
      <c r="G2" s="5"/>
      <c r="H2" s="1048"/>
      <c r="I2" s="240" t="s">
        <v>70</v>
      </c>
      <c r="J2" s="32" t="s">
        <v>69</v>
      </c>
    </row>
    <row r="3" spans="1:16" s="13" customFormat="1" ht="47.25">
      <c r="A3" s="1873" t="s">
        <v>14</v>
      </c>
      <c r="B3" s="1873" t="s">
        <v>3</v>
      </c>
      <c r="C3" s="1242"/>
      <c r="D3" s="1873" t="s">
        <v>20</v>
      </c>
      <c r="E3" s="1049" t="s">
        <v>18</v>
      </c>
      <c r="F3" s="1278"/>
      <c r="G3" s="359" t="s">
        <v>995</v>
      </c>
      <c r="H3" s="1050" t="s">
        <v>19</v>
      </c>
      <c r="I3" s="353" t="s">
        <v>68</v>
      </c>
      <c r="J3" s="320" t="s">
        <v>72</v>
      </c>
      <c r="N3" s="13">
        <v>8000</v>
      </c>
    </row>
    <row r="4" spans="1:16" s="13" customFormat="1" ht="15.75">
      <c r="A4" s="1873"/>
      <c r="B4" s="1873"/>
      <c r="C4" s="1242"/>
      <c r="D4" s="1873"/>
      <c r="E4" s="993" t="s">
        <v>101</v>
      </c>
      <c r="F4" s="1279"/>
      <c r="G4" s="993"/>
      <c r="H4" s="1050" t="s">
        <v>163</v>
      </c>
      <c r="I4" s="354">
        <v>8</v>
      </c>
      <c r="J4" s="321"/>
    </row>
    <row r="5" spans="1:16" s="41" customFormat="1" ht="15.75">
      <c r="A5" s="361">
        <v>1</v>
      </c>
      <c r="B5" s="362"/>
      <c r="C5" s="362"/>
      <c r="D5" s="80"/>
      <c r="E5" s="363"/>
      <c r="F5" s="1280"/>
      <c r="G5" s="1051"/>
      <c r="H5" s="1052">
        <f>SUM(H6:H13)</f>
        <v>765.80000000000007</v>
      </c>
      <c r="I5" s="355"/>
      <c r="J5" s="322">
        <f>SUM(J6:J12)*105%</f>
        <v>3137.6100000000006</v>
      </c>
      <c r="L5" s="12">
        <v>2</v>
      </c>
      <c r="N5" s="348">
        <f>H5*8000</f>
        <v>6126400.0000000009</v>
      </c>
      <c r="P5" s="1257">
        <f>H5*N3</f>
        <v>6126400.0000000009</v>
      </c>
    </row>
    <row r="6" spans="1:16" ht="15.75">
      <c r="A6" s="316">
        <v>1</v>
      </c>
      <c r="B6" s="366" t="s">
        <v>77</v>
      </c>
      <c r="C6" s="366"/>
      <c r="D6" s="367" t="s">
        <v>171</v>
      </c>
      <c r="E6" s="368">
        <f>Gia_VLieu!$D$4</f>
        <v>45000</v>
      </c>
      <c r="F6" s="1281"/>
      <c r="G6" s="369">
        <v>1.9E-3</v>
      </c>
      <c r="H6" s="1053">
        <f t="shared" ref="H6:H13" si="0">E6*G6</f>
        <v>85.5</v>
      </c>
      <c r="I6" s="356">
        <v>4</v>
      </c>
      <c r="J6" s="33">
        <f>$H6*I6</f>
        <v>342</v>
      </c>
      <c r="L6" s="12">
        <v>3</v>
      </c>
      <c r="M6" s="1060">
        <f>ROUND(G6,4)</f>
        <v>1.9E-3</v>
      </c>
      <c r="N6" s="1054">
        <v>15</v>
      </c>
    </row>
    <row r="7" spans="1:16" ht="15.75">
      <c r="A7" s="316">
        <v>2</v>
      </c>
      <c r="B7" s="366" t="s">
        <v>78</v>
      </c>
      <c r="C7" s="366"/>
      <c r="D7" s="367" t="s">
        <v>172</v>
      </c>
      <c r="E7" s="368">
        <f>Gia_VLieu!$D$5</f>
        <v>1450000</v>
      </c>
      <c r="F7" s="1281"/>
      <c r="G7" s="369">
        <v>4.0000000000000002E-4</v>
      </c>
      <c r="H7" s="1053">
        <f t="shared" si="0"/>
        <v>580</v>
      </c>
      <c r="I7" s="356">
        <v>4</v>
      </c>
      <c r="J7" s="33">
        <f t="shared" ref="J7:J12" si="1">$H7*I7</f>
        <v>2320</v>
      </c>
      <c r="L7" s="12">
        <v>4</v>
      </c>
      <c r="M7" s="1060">
        <f t="shared" ref="M7:M13" si="2">ROUND(G7,4)</f>
        <v>4.0000000000000002E-4</v>
      </c>
      <c r="N7" s="1054">
        <v>3</v>
      </c>
    </row>
    <row r="8" spans="1:16" ht="15.75">
      <c r="A8" s="316">
        <v>3</v>
      </c>
      <c r="B8" s="366" t="s">
        <v>80</v>
      </c>
      <c r="C8" s="366"/>
      <c r="D8" s="367" t="s">
        <v>173</v>
      </c>
      <c r="E8" s="368">
        <f>Gia_VLieu!$D$7</f>
        <v>10000</v>
      </c>
      <c r="F8" s="1281"/>
      <c r="G8" s="369">
        <v>1.2999999999999999E-3</v>
      </c>
      <c r="H8" s="1053">
        <f t="shared" si="0"/>
        <v>13</v>
      </c>
      <c r="I8" s="356">
        <v>1</v>
      </c>
      <c r="J8" s="33">
        <f t="shared" si="1"/>
        <v>13</v>
      </c>
      <c r="L8" s="12">
        <v>6</v>
      </c>
      <c r="M8" s="1060">
        <f t="shared" si="2"/>
        <v>1.2999999999999999E-3</v>
      </c>
      <c r="N8" s="1054">
        <v>10</v>
      </c>
    </row>
    <row r="9" spans="1:16" ht="15.75">
      <c r="A9" s="316">
        <v>4</v>
      </c>
      <c r="B9" s="366" t="s">
        <v>21</v>
      </c>
      <c r="C9" s="366"/>
      <c r="D9" s="367" t="s">
        <v>130</v>
      </c>
      <c r="E9" s="368">
        <f>Gia_VLieu!$D$8</f>
        <v>2000</v>
      </c>
      <c r="F9" s="1281"/>
      <c r="G9" s="369">
        <v>6.3E-3</v>
      </c>
      <c r="H9" s="1053">
        <f t="shared" si="0"/>
        <v>12.6</v>
      </c>
      <c r="I9" s="356">
        <v>4</v>
      </c>
      <c r="J9" s="33">
        <f t="shared" si="1"/>
        <v>50.4</v>
      </c>
      <c r="L9" s="12">
        <v>7</v>
      </c>
      <c r="M9" s="1060">
        <f t="shared" si="2"/>
        <v>6.3E-3</v>
      </c>
      <c r="N9" s="1054">
        <v>50</v>
      </c>
    </row>
    <row r="10" spans="1:16" ht="15.75">
      <c r="A10" s="316">
        <v>5</v>
      </c>
      <c r="B10" s="366" t="s">
        <v>83</v>
      </c>
      <c r="C10" s="366"/>
      <c r="D10" s="367" t="s">
        <v>130</v>
      </c>
      <c r="E10" s="368">
        <f>Gia_VLieu!$D$10</f>
        <v>10000</v>
      </c>
      <c r="F10" s="1281"/>
      <c r="G10" s="369">
        <v>6.3E-3</v>
      </c>
      <c r="H10" s="1053">
        <f t="shared" si="0"/>
        <v>63</v>
      </c>
      <c r="I10" s="356">
        <v>4</v>
      </c>
      <c r="J10" s="33">
        <f t="shared" si="1"/>
        <v>252</v>
      </c>
      <c r="L10" s="12">
        <v>9</v>
      </c>
      <c r="M10" s="1060">
        <f t="shared" si="2"/>
        <v>6.3E-3</v>
      </c>
      <c r="N10" s="1054">
        <v>50</v>
      </c>
    </row>
    <row r="11" spans="1:16" ht="15.75">
      <c r="A11" s="316">
        <v>6</v>
      </c>
      <c r="B11" s="366" t="s">
        <v>84</v>
      </c>
      <c r="C11" s="366"/>
      <c r="D11" s="367" t="s">
        <v>172</v>
      </c>
      <c r="E11" s="368">
        <f>Gia_VLieu!$D$11</f>
        <v>2500</v>
      </c>
      <c r="F11" s="1281"/>
      <c r="G11" s="369">
        <v>5.9999999999999995E-4</v>
      </c>
      <c r="H11" s="1053">
        <f t="shared" si="0"/>
        <v>1.4999999999999998</v>
      </c>
      <c r="I11" s="356">
        <v>4</v>
      </c>
      <c r="J11" s="33">
        <f t="shared" si="1"/>
        <v>5.9999999999999991</v>
      </c>
      <c r="L11" s="12">
        <v>10</v>
      </c>
      <c r="M11" s="1060">
        <f t="shared" si="2"/>
        <v>5.9999999999999995E-4</v>
      </c>
      <c r="N11" s="1054">
        <v>5</v>
      </c>
    </row>
    <row r="12" spans="1:16" ht="15.75">
      <c r="A12" s="316">
        <v>7</v>
      </c>
      <c r="B12" s="366" t="s">
        <v>85</v>
      </c>
      <c r="C12" s="366"/>
      <c r="D12" s="367" t="s">
        <v>172</v>
      </c>
      <c r="E12" s="368">
        <f>Gia_VLieu!$D$12</f>
        <v>2000</v>
      </c>
      <c r="F12" s="1281"/>
      <c r="G12" s="369">
        <v>5.9999999999999995E-4</v>
      </c>
      <c r="H12" s="1053">
        <f t="shared" si="0"/>
        <v>1.2</v>
      </c>
      <c r="I12" s="356">
        <v>4</v>
      </c>
      <c r="J12" s="33">
        <f t="shared" si="1"/>
        <v>4.8</v>
      </c>
      <c r="L12" s="12">
        <v>11</v>
      </c>
      <c r="M12" s="1060">
        <f t="shared" si="2"/>
        <v>5.9999999999999995E-4</v>
      </c>
      <c r="N12" s="1054">
        <v>5</v>
      </c>
    </row>
    <row r="13" spans="1:16" ht="15.75">
      <c r="A13" s="316">
        <v>8</v>
      </c>
      <c r="B13" s="366" t="s">
        <v>87</v>
      </c>
      <c r="C13" s="366"/>
      <c r="D13" s="367" t="s">
        <v>130</v>
      </c>
      <c r="E13" s="368">
        <f>Gia_VLieu!$D$14</f>
        <v>15000</v>
      </c>
      <c r="F13" s="1281"/>
      <c r="G13" s="369">
        <v>5.9999999999999995E-4</v>
      </c>
      <c r="H13" s="1053">
        <f t="shared" si="0"/>
        <v>9</v>
      </c>
      <c r="I13" s="357">
        <f>(I10*0.1+I11*0.04)*I$4</f>
        <v>4.4800000000000004</v>
      </c>
      <c r="J13" s="143">
        <f>$H13*I13*E13</f>
        <v>604800.00000000012</v>
      </c>
      <c r="L13" s="12">
        <v>13</v>
      </c>
      <c r="M13" s="1060">
        <f t="shared" si="2"/>
        <v>5.9999999999999995E-4</v>
      </c>
      <c r="N13" s="1054">
        <v>5</v>
      </c>
    </row>
    <row r="14" spans="1:16" ht="15.75" thickBot="1"/>
    <row r="15" spans="1:16" ht="15.75">
      <c r="A15" s="227" t="s">
        <v>14</v>
      </c>
      <c r="B15" s="227" t="s">
        <v>109</v>
      </c>
      <c r="C15" s="227" t="s">
        <v>20</v>
      </c>
      <c r="D15" s="227" t="s">
        <v>110</v>
      </c>
      <c r="E15" s="228" t="s">
        <v>28</v>
      </c>
      <c r="F15" s="1283"/>
      <c r="G15" s="228" t="s">
        <v>19</v>
      </c>
    </row>
    <row r="16" spans="1:16" ht="15.75">
      <c r="A16" s="412">
        <f>'Nhân công 17-&gt;75'!A3</f>
        <v>1</v>
      </c>
      <c r="B16" s="413" t="str">
        <f>'Nhân công 17-&gt;75'!B3</f>
        <v>Công tác chuẩn bị</v>
      </c>
      <c r="C16" s="412"/>
      <c r="D16" s="1154"/>
      <c r="E16" s="1154"/>
      <c r="F16" s="1284"/>
      <c r="G16" s="1231"/>
    </row>
    <row r="17" spans="1:18" ht="63">
      <c r="A17" s="236" t="str">
        <f>'Nhân công 17-&gt;75'!A4</f>
        <v>1.1</v>
      </c>
      <c r="B17" s="391" t="str">
        <f>'Nhân công 17-&gt;75'!B4</f>
        <v>Lập kế hoạch thi công chi tiết: Xác định thời gian, địa điểm, khối lượng và nhân lực thực hiện của từng bước công việc; lập kế hoạch làm việc với các đơn vị có liên quan đến công tác chuyển đổi, bổ sung, hoàn thiện CSDL địa chính trên địa bàn thi công</v>
      </c>
      <c r="C17" s="236" t="str">
        <f>'Nhân công 17-&gt;75'!C4</f>
        <v>Thửa</v>
      </c>
      <c r="D17" s="319">
        <f>'Nhân công 17-&gt;75'!E4</f>
        <v>2.9999999999999997E-4</v>
      </c>
      <c r="E17" s="319">
        <v>8.6E-3</v>
      </c>
      <c r="F17" s="1285">
        <f>E17*8000</f>
        <v>68.8</v>
      </c>
      <c r="G17" s="414">
        <f>E17*$H$5</f>
        <v>6.5858800000000004</v>
      </c>
      <c r="H17" s="1080">
        <f>G17*10000</f>
        <v>65858.8</v>
      </c>
      <c r="I17" s="225"/>
      <c r="J17" s="1446"/>
      <c r="K17" s="1498"/>
      <c r="L17" s="1498"/>
      <c r="M17" s="1498"/>
      <c r="N17" s="1499"/>
      <c r="O17" s="1498"/>
      <c r="P17" s="1498"/>
      <c r="Q17" s="1498"/>
      <c r="R17" s="1498"/>
    </row>
    <row r="18" spans="1:18" ht="47.25">
      <c r="A18" s="236" t="str">
        <f>'Nhân công 17-&gt;75'!A5</f>
        <v>1.2</v>
      </c>
      <c r="B18" s="391" t="str">
        <f>'Nhân công 17-&gt;75'!B5</f>
        <v>Chuẩn bị nhân lực, địa điểm làm việc; chuẩn bị vật tư, thiết bị, dụng cụ, cài đặt phần mềm phục vụ cho công tác chuyển đổi, bổ sung, hoàn thiện CSDL địa chính</v>
      </c>
      <c r="C18" s="236" t="str">
        <f>'Nhân công 17-&gt;75'!C5</f>
        <v>Thửa</v>
      </c>
      <c r="D18" s="319">
        <f>'Nhân công 17-&gt;75'!E5</f>
        <v>2.9999999999999997E-4</v>
      </c>
      <c r="E18" s="319">
        <v>8.6E-3</v>
      </c>
      <c r="F18" s="1285">
        <f>E18*8000</f>
        <v>68.8</v>
      </c>
      <c r="G18" s="414">
        <f>E18*$H$5</f>
        <v>6.5858800000000004</v>
      </c>
      <c r="H18" s="1080">
        <f>G18*10000</f>
        <v>65858.8</v>
      </c>
      <c r="I18" s="225"/>
      <c r="J18" s="1446"/>
      <c r="K18" s="1498"/>
      <c r="L18" s="1498"/>
      <c r="M18" s="1498"/>
      <c r="N18" s="1499"/>
      <c r="O18" s="1498"/>
      <c r="P18" s="1498"/>
      <c r="Q18" s="1498"/>
      <c r="R18" s="1498"/>
    </row>
    <row r="19" spans="1:18" ht="16.5">
      <c r="A19" s="412">
        <f>'Nhân công 17-&gt;75'!A6</f>
        <v>2</v>
      </c>
      <c r="B19" s="413" t="str">
        <f>'Nhân công 17-&gt;75'!B6</f>
        <v>Chuyển đổi dữ liệu địa chính</v>
      </c>
      <c r="C19" s="412"/>
      <c r="D19" s="1154"/>
      <c r="E19" s="1154"/>
      <c r="F19" s="1286"/>
      <c r="G19" s="414"/>
      <c r="H19" s="1080">
        <f t="shared" ref="H19:H23" si="3">G19</f>
        <v>0</v>
      </c>
      <c r="I19" s="225"/>
      <c r="J19" s="1447"/>
      <c r="K19" s="1498"/>
      <c r="L19" s="1498"/>
      <c r="M19" s="1498"/>
      <c r="N19" s="1500"/>
      <c r="O19" s="1498"/>
      <c r="P19" s="1498"/>
      <c r="Q19" s="1498"/>
      <c r="R19" s="1498"/>
    </row>
    <row r="20" spans="1:18" ht="31.5">
      <c r="A20" s="236" t="str">
        <f>'Nhân công 17-&gt;75'!A7</f>
        <v>2.1</v>
      </c>
      <c r="B20" s="391" t="str">
        <f>'Nhân công 17-&gt;75'!B7</f>
        <v>Lập mô hình chuyển đổi cấu trúc dữ liệu của CSDL địa chính đã xây dựng sang cấu trúc dữ liệu hiện hành</v>
      </c>
      <c r="C20" s="236" t="str">
        <f>'Nhân công 17-&gt;75'!C7</f>
        <v>Thửa</v>
      </c>
      <c r="D20" s="319">
        <f>'Nhân công 17-&gt;75'!E7</f>
        <v>1E-3</v>
      </c>
      <c r="E20" s="319">
        <v>2.87E-2</v>
      </c>
      <c r="F20" s="1292">
        <f>E20</f>
        <v>2.87E-2</v>
      </c>
      <c r="G20" s="414">
        <f t="shared" ref="G20:G35" si="4">E20*$H$5</f>
        <v>21.978460000000002</v>
      </c>
      <c r="H20" s="1080"/>
      <c r="I20" s="225"/>
      <c r="J20" s="1446"/>
      <c r="K20" s="1498"/>
      <c r="L20" s="1498"/>
      <c r="M20" s="1498"/>
      <c r="N20" s="1499"/>
      <c r="O20" s="1498"/>
      <c r="P20" s="1498"/>
      <c r="Q20" s="1498"/>
      <c r="R20" s="1498"/>
    </row>
    <row r="21" spans="1:18" ht="16.5">
      <c r="A21" s="236" t="str">
        <f>'Nhân công 17-&gt;75'!A8</f>
        <v>2.2</v>
      </c>
      <c r="B21" s="391" t="str">
        <f>'Nhân công 17-&gt;75'!B8</f>
        <v>Chuyển đổi cấu trúc dữ liệu không gian địa chính</v>
      </c>
      <c r="C21" s="236" t="str">
        <f>'Nhân công 17-&gt;75'!C8</f>
        <v>Thửa</v>
      </c>
      <c r="D21" s="319">
        <f>'Nhân công 17-&gt;75'!E8</f>
        <v>2.9999999999999997E-4</v>
      </c>
      <c r="E21" s="319">
        <v>8.6E-3</v>
      </c>
      <c r="F21" s="1292">
        <f t="shared" ref="F21:F23" si="5">E21</f>
        <v>8.6E-3</v>
      </c>
      <c r="G21" s="414">
        <f t="shared" si="4"/>
        <v>6.5858800000000004</v>
      </c>
      <c r="H21" s="1080">
        <f t="shared" si="3"/>
        <v>6.5858800000000004</v>
      </c>
      <c r="I21" s="225"/>
      <c r="J21" s="1446"/>
      <c r="K21" s="1498"/>
      <c r="L21" s="1498"/>
      <c r="M21" s="1498"/>
      <c r="N21" s="1499"/>
      <c r="O21" s="1498"/>
      <c r="P21" s="1498"/>
      <c r="Q21" s="1498"/>
      <c r="R21" s="1498"/>
    </row>
    <row r="22" spans="1:18" ht="16.5">
      <c r="A22" s="236" t="str">
        <f>'Nhân công 17-&gt;75'!A9</f>
        <v>2.3</v>
      </c>
      <c r="B22" s="391" t="str">
        <f>'Nhân công 17-&gt;75'!B9</f>
        <v>Chuyển đổi cấu trúc dữ liệu thuộc tính địa chính</v>
      </c>
      <c r="C22" s="236" t="str">
        <f>'Nhân công 17-&gt;75'!C9</f>
        <v>Thửa</v>
      </c>
      <c r="D22" s="319">
        <f>'Nhân công 17-&gt;75'!E9</f>
        <v>2.9999999999999997E-4</v>
      </c>
      <c r="E22" s="319">
        <v>8.6E-3</v>
      </c>
      <c r="F22" s="1292">
        <f t="shared" si="5"/>
        <v>8.6E-3</v>
      </c>
      <c r="G22" s="414">
        <f t="shared" si="4"/>
        <v>6.5858800000000004</v>
      </c>
      <c r="H22" s="1080">
        <f t="shared" si="3"/>
        <v>6.5858800000000004</v>
      </c>
      <c r="I22" s="225"/>
      <c r="J22" s="1446"/>
      <c r="K22" s="1498"/>
      <c r="L22" s="1498"/>
      <c r="M22" s="1498"/>
      <c r="N22" s="1499"/>
      <c r="O22" s="1498"/>
      <c r="P22" s="1498"/>
      <c r="Q22" s="1498"/>
      <c r="R22" s="1498"/>
    </row>
    <row r="23" spans="1:18" ht="16.5">
      <c r="A23" s="236" t="str">
        <f>'Nhân công 17-&gt;75'!A10</f>
        <v>2.4</v>
      </c>
      <c r="B23" s="391" t="str">
        <f>'Nhân công 17-&gt;75'!B10</f>
        <v>Chuyển đổi cấu trúc dữ liệu hồ sơ quét</v>
      </c>
      <c r="C23" s="236" t="str">
        <f>'Nhân công 17-&gt;75'!C10</f>
        <v>Thửa</v>
      </c>
      <c r="D23" s="319">
        <f>'Nhân công 17-&gt;75'!E10</f>
        <v>1E-4</v>
      </c>
      <c r="E23" s="319">
        <v>2.8999999999999998E-3</v>
      </c>
      <c r="F23" s="1292">
        <f t="shared" si="5"/>
        <v>2.8999999999999998E-3</v>
      </c>
      <c r="G23" s="414">
        <f t="shared" si="4"/>
        <v>2.2208200000000002</v>
      </c>
      <c r="H23" s="1080">
        <f t="shared" si="3"/>
        <v>2.2208200000000002</v>
      </c>
      <c r="I23" s="225"/>
      <c r="J23" s="1446"/>
      <c r="K23" s="1498"/>
      <c r="L23" s="1498"/>
      <c r="M23" s="1498"/>
      <c r="N23" s="1499"/>
      <c r="O23" s="1498"/>
      <c r="P23" s="1498"/>
      <c r="Q23" s="1498"/>
      <c r="R23" s="1498"/>
    </row>
    <row r="24" spans="1:18" s="1055" customFormat="1" ht="16.5">
      <c r="A24" s="412">
        <f>'Nhân công 17-&gt;75'!A11</f>
        <v>3</v>
      </c>
      <c r="B24" s="413" t="str">
        <f>'Nhân công 17-&gt;75'!B11</f>
        <v>Bổ sung, hoàn thiện dữ liệu địa chính</v>
      </c>
      <c r="C24" s="412"/>
      <c r="D24" s="1154"/>
      <c r="E24" s="1154"/>
      <c r="F24" s="1286"/>
      <c r="G24" s="414"/>
      <c r="I24" s="225"/>
      <c r="J24" s="1447"/>
      <c r="K24" s="1498"/>
      <c r="L24" s="1498"/>
      <c r="M24" s="1498"/>
      <c r="N24" s="1500"/>
      <c r="O24" s="1501"/>
      <c r="P24" s="1501"/>
      <c r="Q24" s="1501"/>
      <c r="R24" s="1501"/>
    </row>
    <row r="25" spans="1:18" ht="16.5">
      <c r="A25" s="236" t="str">
        <f>'Nhân công 17-&gt;75'!A12</f>
        <v>3.1</v>
      </c>
      <c r="B25" s="391" t="str">
        <f>'Nhân công 17-&gt;75'!B12</f>
        <v xml:space="preserve">Rà soát, bổ sung dữ liệu không gian địa chính </v>
      </c>
      <c r="C25" s="236" t="str">
        <f>'Nhân công 17-&gt;75'!C12</f>
        <v>Thửa</v>
      </c>
      <c r="D25" s="319">
        <f>'Nhân công 17-&gt;75'!E12</f>
        <v>1.2999999999999999E-3</v>
      </c>
      <c r="E25" s="319">
        <v>3.73E-2</v>
      </c>
      <c r="F25" s="1292">
        <f>E25</f>
        <v>3.73E-2</v>
      </c>
      <c r="G25" s="414">
        <f t="shared" si="4"/>
        <v>28.564340000000001</v>
      </c>
      <c r="I25" s="225"/>
      <c r="J25" s="1446"/>
      <c r="K25" s="1498"/>
      <c r="L25" s="1498"/>
      <c r="M25" s="1498"/>
      <c r="N25" s="1499"/>
      <c r="O25" s="1498"/>
      <c r="P25" s="1498"/>
      <c r="Q25" s="1498"/>
      <c r="R25" s="1498"/>
    </row>
    <row r="26" spans="1:18" ht="16.5">
      <c r="A26" s="236" t="str">
        <f>'Nhân công 17-&gt;75'!A13</f>
        <v>3.2</v>
      </c>
      <c r="B26" s="391" t="str">
        <f>'Nhân công 17-&gt;75'!B13</f>
        <v>Rà soát, bổ sung dữ liệu thuộc tính địa chính</v>
      </c>
      <c r="C26" s="236" t="str">
        <f>'Nhân công 17-&gt;75'!C13</f>
        <v>Thửa</v>
      </c>
      <c r="D26" s="319">
        <f>'Nhân công 17-&gt;75'!E13</f>
        <v>1.37E-2</v>
      </c>
      <c r="E26" s="319">
        <v>0.39250000000000002</v>
      </c>
      <c r="F26" s="1292">
        <f t="shared" ref="F26:F28" si="6">E26</f>
        <v>0.39250000000000002</v>
      </c>
      <c r="G26" s="414">
        <f t="shared" si="4"/>
        <v>300.57650000000007</v>
      </c>
      <c r="I26" s="225"/>
      <c r="J26" s="1446"/>
      <c r="K26" s="1498"/>
      <c r="L26" s="1502"/>
      <c r="M26" s="1498"/>
      <c r="N26" s="1499"/>
      <c r="O26" s="1498"/>
      <c r="P26" s="1498"/>
      <c r="Q26" s="1498"/>
      <c r="R26" s="1498"/>
    </row>
    <row r="27" spans="1:18" ht="31.5">
      <c r="A27" s="236" t="str">
        <f>'Nhân công 17-&gt;75'!A14</f>
        <v>3.3</v>
      </c>
      <c r="B27" s="391" t="str">
        <f>'Nhân công 17-&gt;75'!B14</f>
        <v>Thực hiện hoàn thiện 100% thông tin trong CSDL đã được chuyển đổi, bổ sung</v>
      </c>
      <c r="C27" s="236" t="str">
        <f>'Nhân công 17-&gt;75'!C14</f>
        <v>Thửa</v>
      </c>
      <c r="D27" s="319">
        <f>'Nhân công 17-&gt;75'!E14</f>
        <v>2E-3</v>
      </c>
      <c r="E27" s="319">
        <v>5.74E-2</v>
      </c>
      <c r="F27" s="1292">
        <f t="shared" si="6"/>
        <v>5.74E-2</v>
      </c>
      <c r="G27" s="414">
        <f t="shared" si="4"/>
        <v>43.956920000000004</v>
      </c>
      <c r="I27" s="225"/>
      <c r="J27" s="1446"/>
      <c r="K27" s="1498"/>
      <c r="L27" s="1498"/>
      <c r="M27" s="1498"/>
      <c r="N27" s="1499"/>
      <c r="O27" s="1498"/>
      <c r="P27" s="1498"/>
      <c r="Q27" s="1498"/>
      <c r="R27" s="1498"/>
    </row>
    <row r="28" spans="1:18" ht="31.5">
      <c r="A28" s="236" t="str">
        <f>'Nhân công 17-&gt;75'!A15</f>
        <v>3.4</v>
      </c>
      <c r="B28" s="391" t="str">
        <f>'Nhân công 17-&gt;75'!B15</f>
        <v>Thực hiện xuất Sổ địa chính (điện tử) đối với những thửa đất chưa có Sổ địa chính (điện tử)</v>
      </c>
      <c r="C28" s="236" t="str">
        <f>'Nhân công 17-&gt;75'!C15</f>
        <v>Thửa</v>
      </c>
      <c r="D28" s="319">
        <f>'Nhân công 17-&gt;75'!E15</f>
        <v>2.5000000000000001E-3</v>
      </c>
      <c r="E28" s="319">
        <v>7.17E-2</v>
      </c>
      <c r="F28" s="1292">
        <f t="shared" si="6"/>
        <v>7.17E-2</v>
      </c>
      <c r="G28" s="414">
        <f t="shared" si="4"/>
        <v>54.907860000000007</v>
      </c>
      <c r="I28" s="225"/>
      <c r="J28" s="1446"/>
      <c r="K28" s="1498"/>
      <c r="L28" s="1498"/>
      <c r="M28" s="1498"/>
      <c r="N28" s="1499"/>
      <c r="O28" s="1498"/>
      <c r="P28" s="1498"/>
      <c r="Q28" s="1498"/>
      <c r="R28" s="1498"/>
    </row>
    <row r="29" spans="1:18" ht="16.5">
      <c r="A29" s="412">
        <f>'Nhân công 17-&gt;75'!A16</f>
        <v>4</v>
      </c>
      <c r="B29" s="413" t="str">
        <f>'Nhân công 17-&gt;75'!B16</f>
        <v>Xây dựng siêu dữ liệu địa chính</v>
      </c>
      <c r="C29" s="412"/>
      <c r="D29" s="1154"/>
      <c r="E29" s="1154"/>
      <c r="F29" s="1286"/>
      <c r="G29" s="414"/>
      <c r="I29" s="225"/>
      <c r="J29" s="1447"/>
      <c r="K29" s="1498"/>
      <c r="L29" s="1498"/>
      <c r="M29" s="1498"/>
      <c r="N29" s="1500"/>
      <c r="O29" s="1498"/>
      <c r="P29" s="1498"/>
      <c r="Q29" s="1498"/>
      <c r="R29" s="1498"/>
    </row>
    <row r="30" spans="1:18" ht="16.5">
      <c r="A30" s="236" t="str">
        <f>'Nhân công 17-&gt;75'!A17</f>
        <v>4.1</v>
      </c>
      <c r="B30" s="391" t="str">
        <f>'Nhân công 17-&gt;75'!B17</f>
        <v>Chuyển đổi siêu dữ liệu địa chính</v>
      </c>
      <c r="C30" s="236" t="str">
        <f>'Nhân công 17-&gt;75'!C17</f>
        <v>Thửa</v>
      </c>
      <c r="D30" s="319">
        <f>'Nhân công 17-&gt;75'!E17</f>
        <v>1E-4</v>
      </c>
      <c r="E30" s="319">
        <v>2.8999999999999998E-3</v>
      </c>
      <c r="F30" s="1285">
        <f>E30*8000</f>
        <v>23.2</v>
      </c>
      <c r="G30" s="414">
        <f>E30*$H$5</f>
        <v>2.2208200000000002</v>
      </c>
      <c r="I30" s="225"/>
      <c r="J30" s="1446"/>
      <c r="K30" s="1498"/>
      <c r="L30" s="1498"/>
      <c r="M30" s="1498"/>
      <c r="N30" s="1499"/>
      <c r="O30" s="1498"/>
      <c r="P30" s="1498"/>
      <c r="Q30" s="1498"/>
      <c r="R30" s="1498"/>
    </row>
    <row r="31" spans="1:18" ht="31.5">
      <c r="A31" s="236" t="str">
        <f>'Nhân công 17-&gt;75'!A18</f>
        <v>4.2</v>
      </c>
      <c r="B31" s="391" t="str">
        <f>'Nhân công 17-&gt;75'!B18</f>
        <v>Thu nhận bổ sung các thông tin cần thiết để xây dựng siêu dữ liệu địa chính (thu nhận bổ sung thông tin)</v>
      </c>
      <c r="C31" s="236" t="str">
        <f>'Nhân công 17-&gt;75'!C18</f>
        <v>Thửa</v>
      </c>
      <c r="D31" s="319">
        <f>'Nhân công 17-&gt;75'!E18</f>
        <v>1.9E-3</v>
      </c>
      <c r="E31" s="319">
        <v>5.3800000000000001E-2</v>
      </c>
      <c r="F31" s="1285">
        <f t="shared" ref="F31:F32" si="7">E31*8000</f>
        <v>430.4</v>
      </c>
      <c r="G31" s="414">
        <f>E31*$H$5</f>
        <v>41.200040000000001</v>
      </c>
      <c r="I31" s="225"/>
      <c r="J31" s="1446"/>
      <c r="K31" s="1498"/>
      <c r="L31" s="1498"/>
      <c r="M31" s="1498"/>
      <c r="N31" s="1499"/>
      <c r="O31" s="1498"/>
      <c r="P31" s="1498"/>
      <c r="Q31" s="1498"/>
      <c r="R31" s="1498"/>
    </row>
    <row r="32" spans="1:18" ht="31.5">
      <c r="A32" s="236" t="str">
        <f>'Nhân công 17-&gt;75'!A19</f>
        <v>4.3</v>
      </c>
      <c r="B32" s="391" t="str">
        <f>'Nhân công 17-&gt;75'!B19</f>
        <v>Nhập bổ sung thông tin siêu dữ liệu địa chính cho từng đơn vị hành chính cấp xã</v>
      </c>
      <c r="C32" s="236" t="str">
        <f>'Nhân công 17-&gt;75'!C19</f>
        <v>Thửa</v>
      </c>
      <c r="D32" s="319">
        <f>'Nhân công 17-&gt;75'!E19</f>
        <v>1E-4</v>
      </c>
      <c r="E32" s="319">
        <v>2.8999999999999998E-3</v>
      </c>
      <c r="F32" s="1285">
        <f t="shared" si="7"/>
        <v>23.2</v>
      </c>
      <c r="G32" s="414">
        <f t="shared" si="4"/>
        <v>2.2208200000000002</v>
      </c>
      <c r="I32" s="225"/>
      <c r="J32" s="1446"/>
      <c r="K32" s="1498"/>
      <c r="L32" s="1498"/>
      <c r="M32" s="1498"/>
      <c r="N32" s="1499"/>
      <c r="O32" s="1498"/>
      <c r="P32" s="1498"/>
      <c r="Q32" s="1498"/>
      <c r="R32" s="1498"/>
    </row>
    <row r="33" spans="1:18" ht="16.5">
      <c r="A33" s="412">
        <f>'Nhân công 17-&gt;75'!A20</f>
        <v>5</v>
      </c>
      <c r="B33" s="413" t="str">
        <f>'Nhân công 17-&gt;75'!B20</f>
        <v>Đối soát dữ liệu (do Văn phòng đăng ký đất đai thực hiện)</v>
      </c>
      <c r="C33" s="236"/>
      <c r="D33" s="319"/>
      <c r="E33" s="319"/>
      <c r="F33" s="1292"/>
      <c r="G33" s="414">
        <f t="shared" si="4"/>
        <v>0</v>
      </c>
      <c r="I33" s="225"/>
      <c r="J33" s="1446"/>
      <c r="K33" s="1498"/>
      <c r="L33" s="1498"/>
      <c r="M33" s="1498"/>
      <c r="N33" s="1499"/>
      <c r="O33" s="1498"/>
      <c r="P33" s="1498"/>
      <c r="Q33" s="1498"/>
      <c r="R33" s="1498"/>
    </row>
    <row r="34" spans="1:18" ht="47.25">
      <c r="A34" s="236" t="str">
        <f>'Nhân công 17-&gt;75'!A21</f>
        <v>5.1</v>
      </c>
      <c r="B34" s="391" t="str">
        <f>'Nhân công 17-&gt;75'!B21</f>
        <v>Đối soát thông tin của thửa đất trong CSDL đã được chuyển đổi, bổ sung với nguồn tài liệu, dữ liệu đã sử dụng để xây dựng CSDL đối với trường hợp phải xuất mới sổ địa chính (điện tử)</v>
      </c>
      <c r="C34" s="236" t="str">
        <f>'Nhân công 17-&gt;75'!C21</f>
        <v>Thửa</v>
      </c>
      <c r="D34" s="319">
        <f>'Nhân công 17-&gt;75'!E21</f>
        <v>5.0000000000000001E-3</v>
      </c>
      <c r="E34" s="319">
        <v>0.1434</v>
      </c>
      <c r="F34" s="1292">
        <f t="shared" ref="F34:F35" si="8">E34</f>
        <v>0.1434</v>
      </c>
      <c r="G34" s="414">
        <f t="shared" si="4"/>
        <v>109.81572000000001</v>
      </c>
      <c r="I34" s="225"/>
      <c r="J34" s="1446"/>
      <c r="K34" s="1498"/>
      <c r="L34" s="1498"/>
      <c r="M34" s="1498"/>
      <c r="N34" s="1499"/>
      <c r="O34" s="1498"/>
      <c r="P34" s="1498"/>
      <c r="Q34" s="1498"/>
      <c r="R34" s="1498"/>
    </row>
    <row r="35" spans="1:18" ht="31.5">
      <c r="A35" s="236" t="str">
        <f>'Nhân công 17-&gt;75'!A22</f>
        <v>5.2</v>
      </c>
      <c r="B35" s="391" t="str">
        <f>'Nhân công 17-&gt;75'!B22</f>
        <v>Thực hiện ký số vào Sổ địa chính (điện tử) đối với trường hợp xuất mới sổ địa chính (điện tử)</v>
      </c>
      <c r="C35" s="236" t="str">
        <f>'Nhân công 17-&gt;75'!C22</f>
        <v>Thửa</v>
      </c>
      <c r="D35" s="319">
        <f>'Nhân công 17-&gt;75'!E22</f>
        <v>5.0000000000000001E-3</v>
      </c>
      <c r="E35" s="319">
        <v>0.1434</v>
      </c>
      <c r="F35" s="1292">
        <f t="shared" si="8"/>
        <v>0.1434</v>
      </c>
      <c r="G35" s="414">
        <f t="shared" si="4"/>
        <v>109.81572000000001</v>
      </c>
      <c r="I35" s="225"/>
      <c r="J35" s="1446"/>
      <c r="K35" s="1498"/>
      <c r="L35" s="1498"/>
      <c r="M35" s="1498"/>
      <c r="N35" s="1499"/>
      <c r="O35" s="1498"/>
      <c r="P35" s="1498"/>
      <c r="Q35" s="1498"/>
      <c r="R35" s="1498"/>
    </row>
    <row r="36" spans="1:18" ht="16.5">
      <c r="A36" s="412">
        <f>'Nhân công 17-&gt;75'!A23</f>
        <v>6</v>
      </c>
      <c r="B36" s="413" t="str">
        <f>'Nhân công 17-&gt;75'!B23</f>
        <v>Phục vụ kiểm tra, nghiệm thu CSDL địa chính</v>
      </c>
      <c r="C36" s="412"/>
      <c r="D36" s="319"/>
      <c r="E36" s="319"/>
      <c r="F36" s="1285"/>
      <c r="G36" s="414"/>
      <c r="I36" s="225"/>
      <c r="J36" s="1446"/>
      <c r="K36" s="1498"/>
      <c r="L36" s="1498"/>
      <c r="M36" s="1498"/>
      <c r="N36" s="1499"/>
      <c r="O36" s="1498"/>
      <c r="P36" s="1498"/>
      <c r="Q36" s="1498"/>
      <c r="R36" s="1498"/>
    </row>
    <row r="37" spans="1:18" ht="47.25">
      <c r="A37" s="236"/>
      <c r="B37" s="391" t="str">
        <f>'Nhân công 17-&gt;75'!B24</f>
        <v>Chuẩn bị tư liệu, tài liệu và phục vụ giám sát, kiểm tra, nghiệm thu; tổng hợp, xác định khối lượng sản phẩm đã thực hiện khi kết thúc công trình; lập biên bản bàn giao dữ liệu địa chính</v>
      </c>
      <c r="C37" s="236" t="str">
        <f>'Nhân công 17-&gt;75'!C24</f>
        <v>Thửa</v>
      </c>
      <c r="D37" s="319">
        <f>'Nhân công 17-&gt;75'!E24</f>
        <v>1E-3</v>
      </c>
      <c r="E37" s="319">
        <v>2.87E-2</v>
      </c>
      <c r="F37" s="1292">
        <f>E37</f>
        <v>2.87E-2</v>
      </c>
      <c r="G37" s="414">
        <f>E37*$H$5</f>
        <v>21.978460000000002</v>
      </c>
      <c r="I37" s="225"/>
      <c r="J37" s="1446"/>
      <c r="K37" s="1498"/>
      <c r="L37" s="1498"/>
      <c r="M37" s="1498"/>
      <c r="N37" s="1499"/>
      <c r="O37" s="1498"/>
      <c r="P37" s="1498"/>
      <c r="Q37" s="1498"/>
      <c r="R37" s="1498"/>
    </row>
    <row r="38" spans="1:18">
      <c r="D38" s="1075">
        <f>SUM(D16:D37)</f>
        <v>3.4899999999999994E-2</v>
      </c>
      <c r="E38" s="1173">
        <f>SUM(E17:E37)</f>
        <v>0.99999999999999989</v>
      </c>
      <c r="F38" s="1173">
        <f t="shared" ref="F38:H38" si="9">SUM(F17:F37)</f>
        <v>615.32320000000004</v>
      </c>
      <c r="G38" s="1173">
        <f t="shared" si="9"/>
        <v>765.8000000000003</v>
      </c>
      <c r="H38" s="1173">
        <f t="shared" si="9"/>
        <v>131732.99257999999</v>
      </c>
      <c r="I38" s="1173"/>
      <c r="J38" s="1503"/>
      <c r="K38" s="1503"/>
      <c r="L38" s="1503"/>
      <c r="M38" s="1503"/>
      <c r="N38" s="1504"/>
      <c r="O38" s="1498"/>
      <c r="P38" s="1498"/>
      <c r="Q38" s="1498"/>
      <c r="R38" s="1498"/>
    </row>
    <row r="39" spans="1:18">
      <c r="J39" s="1505"/>
      <c r="K39" s="1498"/>
      <c r="L39" s="1498"/>
      <c r="M39" s="1498"/>
      <c r="N39" s="1498"/>
      <c r="O39" s="1498"/>
      <c r="P39" s="1498"/>
      <c r="Q39" s="1498"/>
      <c r="R39" s="1498"/>
    </row>
    <row r="40" spans="1:18">
      <c r="G40" s="1248">
        <f>G38*N3</f>
        <v>6126400.0000000028</v>
      </c>
    </row>
  </sheetData>
  <mergeCells count="4">
    <mergeCell ref="A1:J1"/>
    <mergeCell ref="A3:A4"/>
    <mergeCell ref="B3:B4"/>
    <mergeCell ref="D3:D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37"/>
  <sheetViews>
    <sheetView topLeftCell="A24" workbookViewId="0">
      <selection activeCell="H8" sqref="H8"/>
    </sheetView>
  </sheetViews>
  <sheetFormatPr defaultColWidth="9" defaultRowHeight="15"/>
  <cols>
    <col min="1" max="1" width="7.875" style="242" customWidth="1"/>
    <col min="2" max="2" width="55.625" style="12" customWidth="1"/>
    <col min="3" max="3" width="8.75" style="12" customWidth="1"/>
    <col min="4" max="4" width="8.125" style="242" customWidth="1"/>
    <col min="5" max="5" width="8.375" style="12" customWidth="1"/>
    <col min="6" max="6" width="11.375" style="12" customWidth="1"/>
    <col min="7" max="7" width="12.875" style="1059" customWidth="1"/>
    <col min="8" max="8" width="11.125" style="69" customWidth="1"/>
    <col min="9" max="9" width="14.25" style="1060" customWidth="1"/>
    <col min="10" max="16384" width="9" style="12"/>
  </cols>
  <sheetData>
    <row r="1" spans="1:14" ht="15.75">
      <c r="A1" s="1856" t="s">
        <v>75</v>
      </c>
      <c r="B1" s="1856"/>
      <c r="C1" s="1856"/>
      <c r="D1" s="1856"/>
      <c r="E1" s="1856"/>
      <c r="F1" s="1856"/>
      <c r="G1" s="1856"/>
      <c r="H1" s="1856"/>
      <c r="I1" s="1856"/>
    </row>
    <row r="2" spans="1:14" ht="16.5" thickBot="1">
      <c r="A2" s="30"/>
      <c r="B2" s="5"/>
      <c r="C2" s="5"/>
      <c r="D2" s="30"/>
      <c r="E2" s="5"/>
      <c r="F2" s="5"/>
      <c r="G2" s="95"/>
      <c r="H2" s="240" t="s">
        <v>70</v>
      </c>
      <c r="I2" s="223" t="s">
        <v>69</v>
      </c>
    </row>
    <row r="3" spans="1:14" s="13" customFormat="1" ht="110.25">
      <c r="A3" s="1860" t="s">
        <v>14</v>
      </c>
      <c r="B3" s="1862" t="s">
        <v>2</v>
      </c>
      <c r="C3" s="1240"/>
      <c r="D3" s="1862" t="s">
        <v>20</v>
      </c>
      <c r="E3" s="219" t="s">
        <v>98</v>
      </c>
      <c r="F3" s="219" t="s">
        <v>100</v>
      </c>
      <c r="G3" s="220" t="s">
        <v>100</v>
      </c>
      <c r="H3" s="1275" t="s">
        <v>995</v>
      </c>
      <c r="I3" s="224" t="s">
        <v>72</v>
      </c>
      <c r="J3" s="13">
        <v>8000</v>
      </c>
      <c r="N3" s="1411" t="s">
        <v>992</v>
      </c>
    </row>
    <row r="4" spans="1:14" s="13" customFormat="1" ht="15.75">
      <c r="A4" s="1861"/>
      <c r="B4" s="1863"/>
      <c r="C4" s="1241"/>
      <c r="D4" s="1863"/>
      <c r="E4" s="994" t="s">
        <v>99</v>
      </c>
      <c r="F4" s="994" t="s">
        <v>101</v>
      </c>
      <c r="G4" s="221" t="s">
        <v>102</v>
      </c>
      <c r="H4" s="1276">
        <v>8</v>
      </c>
      <c r="I4" s="1056">
        <f>SUM(I5:I11)</f>
        <v>87.033740384615385</v>
      </c>
    </row>
    <row r="5" spans="1:14" ht="15.75">
      <c r="A5" s="34">
        <v>1</v>
      </c>
      <c r="B5" s="35" t="s">
        <v>52</v>
      </c>
      <c r="C5" s="35"/>
      <c r="D5" s="17" t="str">
        <f>[2]Gia_Dcu!C6</f>
        <v>cái</v>
      </c>
      <c r="E5" s="17">
        <f>[2]Gia_Dcu!D6</f>
        <v>24</v>
      </c>
      <c r="F5" s="18">
        <f>Gia_Dcu!$E$6</f>
        <v>13500</v>
      </c>
      <c r="G5" s="346">
        <f>[2]Gia_Dcu!F6</f>
        <v>21.634615384615383</v>
      </c>
      <c r="H5" s="230">
        <v>7.0000000000000001E-3</v>
      </c>
      <c r="I5" s="1057">
        <f t="shared" ref="I5:I10" si="0">$G5*H5</f>
        <v>0.15144230769230768</v>
      </c>
      <c r="K5" s="1060"/>
      <c r="N5" s="19">
        <v>4</v>
      </c>
    </row>
    <row r="6" spans="1:14" ht="15.75">
      <c r="A6" s="34">
        <v>2</v>
      </c>
      <c r="B6" s="35" t="s">
        <v>53</v>
      </c>
      <c r="C6" s="35"/>
      <c r="D6" s="17" t="str">
        <f>[2]Gia_Dcu!C7</f>
        <v>cái</v>
      </c>
      <c r="E6" s="17">
        <f>[2]Gia_Dcu!D7</f>
        <v>60</v>
      </c>
      <c r="F6" s="18">
        <f>Gia_Dcu!$E$7</f>
        <v>1500000</v>
      </c>
      <c r="G6" s="346">
        <f>[2]Gia_Dcu!F7</f>
        <v>769.23076923076928</v>
      </c>
      <c r="H6" s="230">
        <v>1.1599999999999999E-2</v>
      </c>
      <c r="I6" s="1057">
        <f t="shared" si="0"/>
        <v>8.9230769230769234</v>
      </c>
      <c r="K6" s="1060"/>
    </row>
    <row r="7" spans="1:14" ht="15.75">
      <c r="A7" s="34">
        <v>3</v>
      </c>
      <c r="B7" s="35" t="s">
        <v>54</v>
      </c>
      <c r="C7" s="35"/>
      <c r="D7" s="17" t="str">
        <f>[2]Gia_Dcu!C8</f>
        <v>cái</v>
      </c>
      <c r="E7" s="17">
        <f>[2]Gia_Dcu!D8</f>
        <v>96</v>
      </c>
      <c r="F7" s="18">
        <f>Gia_Dcu!$E$8</f>
        <v>360000</v>
      </c>
      <c r="G7" s="346">
        <f>[2]Gia_Dcu!F8</f>
        <v>140.22435897435898</v>
      </c>
      <c r="H7" s="230">
        <v>3.49E-2</v>
      </c>
      <c r="I7" s="1057">
        <f>$G7*H7</f>
        <v>4.8938301282051286</v>
      </c>
      <c r="K7" s="1060"/>
    </row>
    <row r="8" spans="1:14" ht="15.75">
      <c r="A8" s="34">
        <v>4</v>
      </c>
      <c r="B8" s="35" t="s">
        <v>27</v>
      </c>
      <c r="C8" s="35"/>
      <c r="D8" s="17" t="str">
        <f>[2]Gia_Dcu!C9</f>
        <v>cái</v>
      </c>
      <c r="E8" s="17">
        <f>[2]Gia_Dcu!D9</f>
        <v>96</v>
      </c>
      <c r="F8" s="18">
        <f>Gia_Dcu!$E$9</f>
        <v>754000</v>
      </c>
      <c r="G8" s="346">
        <f>[2]Gia_Dcu!F9</f>
        <v>240.38461538461539</v>
      </c>
      <c r="H8" s="230">
        <v>3.49E-2</v>
      </c>
      <c r="I8" s="1057">
        <f t="shared" si="0"/>
        <v>8.3894230769230766</v>
      </c>
      <c r="K8" s="1060"/>
    </row>
    <row r="9" spans="1:14" ht="15.75">
      <c r="A9" s="34">
        <v>5</v>
      </c>
      <c r="B9" s="35" t="s">
        <v>55</v>
      </c>
      <c r="C9" s="35"/>
      <c r="D9" s="17" t="str">
        <f>[2]Gia_Dcu!C10</f>
        <v>cái</v>
      </c>
      <c r="E9" s="17">
        <f>[2]Gia_Dcu!D10</f>
        <v>96</v>
      </c>
      <c r="F9" s="18">
        <f>Gia_Dcu!$E$10</f>
        <v>870000</v>
      </c>
      <c r="G9" s="346">
        <f>[2]Gia_Dcu!F10</f>
        <v>200.32051282051282</v>
      </c>
      <c r="H9" s="230">
        <v>8.6999999999999994E-3</v>
      </c>
      <c r="I9" s="1057">
        <f t="shared" si="0"/>
        <v>1.7427884615384615</v>
      </c>
      <c r="K9" s="1060"/>
    </row>
    <row r="10" spans="1:14" ht="15.75">
      <c r="A10" s="34">
        <v>6</v>
      </c>
      <c r="B10" s="35" t="s">
        <v>56</v>
      </c>
      <c r="C10" s="35"/>
      <c r="D10" s="17" t="str">
        <f>[2]Gia_Dcu!C11</f>
        <v>cái</v>
      </c>
      <c r="E10" s="17">
        <f>[2]Gia_Dcu!D11</f>
        <v>24</v>
      </c>
      <c r="F10" s="18">
        <f>Gia_Dcu!$E$11</f>
        <v>65000</v>
      </c>
      <c r="G10" s="346">
        <f>[2]Gia_Dcu!F11</f>
        <v>64.102564102564102</v>
      </c>
      <c r="H10" s="230">
        <v>3.49E-2</v>
      </c>
      <c r="I10" s="1057">
        <f t="shared" si="0"/>
        <v>2.2371794871794872</v>
      </c>
      <c r="K10" s="1060"/>
    </row>
    <row r="11" spans="1:14" ht="15.75">
      <c r="A11" s="51">
        <v>7</v>
      </c>
      <c r="B11" s="52" t="s">
        <v>58</v>
      </c>
      <c r="C11" s="52"/>
      <c r="D11" s="53" t="s">
        <v>147</v>
      </c>
      <c r="E11" s="1403">
        <v>1</v>
      </c>
      <c r="F11" s="54">
        <f>Gia_Dcu!$E$12</f>
        <v>1686</v>
      </c>
      <c r="G11" s="85">
        <f>Gia_Dcu!F12</f>
        <v>13488</v>
      </c>
      <c r="H11" s="231">
        <v>4.4999999999999997E-3</v>
      </c>
      <c r="I11" s="1058">
        <f>$G11*H11*E11</f>
        <v>60.695999999999998</v>
      </c>
      <c r="K11" s="1060"/>
    </row>
    <row r="13" spans="1:14" ht="31.5">
      <c r="A13" s="993" t="s">
        <v>14</v>
      </c>
      <c r="B13" s="993" t="s">
        <v>109</v>
      </c>
      <c r="C13" s="1242" t="s">
        <v>20</v>
      </c>
      <c r="D13" s="993" t="s">
        <v>110</v>
      </c>
      <c r="E13" s="359" t="s">
        <v>28</v>
      </c>
      <c r="F13" s="359" t="s">
        <v>19</v>
      </c>
      <c r="G13" s="1076"/>
      <c r="I13" s="562"/>
    </row>
    <row r="14" spans="1:14" ht="15.75">
      <c r="A14" s="412">
        <f>'Nhân công 17-&gt;75'!A3</f>
        <v>1</v>
      </c>
      <c r="B14" s="413" t="str">
        <f>'Nhân công 17-&gt;75'!B3</f>
        <v>Công tác chuẩn bị</v>
      </c>
      <c r="C14" s="1254"/>
      <c r="D14" s="1175"/>
      <c r="E14" s="1154"/>
      <c r="F14" s="814"/>
      <c r="G14" s="1077"/>
      <c r="I14" s="1078"/>
    </row>
    <row r="15" spans="1:14" ht="63">
      <c r="A15" s="236" t="str">
        <f>'Nhân công 17-&gt;75'!A4</f>
        <v>1.1</v>
      </c>
      <c r="B15" s="391" t="str">
        <f>'Nhân công 17-&gt;75'!B4</f>
        <v>Lập kế hoạch thi công chi tiết: Xác định thời gian, địa điểm, khối lượng và nhân lực thực hiện của từng bước công việc; lập kế hoạch làm việc với các đơn vị có liên quan đến công tác chuyển đổi, bổ sung, hoàn thiện CSDL địa chính trên địa bàn thi công</v>
      </c>
      <c r="C15" s="386" t="str">
        <f>'Nhân công 17-&gt;75'!C4</f>
        <v>Thửa</v>
      </c>
      <c r="D15" s="319">
        <f>'Nhân công 17-&gt;75'!E4</f>
        <v>2.9999999999999997E-4</v>
      </c>
      <c r="E15" s="319">
        <v>8.6E-3</v>
      </c>
      <c r="F15" s="1174">
        <f>E15*$I$4</f>
        <v>0.74849016730769236</v>
      </c>
      <c r="G15" s="1077">
        <f>F15*10000</f>
        <v>7484.9016730769235</v>
      </c>
      <c r="H15" s="225"/>
      <c r="I15" s="1446"/>
      <c r="J15" s="1503"/>
      <c r="K15" s="1498"/>
      <c r="L15" s="1498"/>
    </row>
    <row r="16" spans="1:14" ht="47.25">
      <c r="A16" s="236" t="str">
        <f>'Nhân công 17-&gt;75'!A5</f>
        <v>1.2</v>
      </c>
      <c r="B16" s="391" t="str">
        <f>'Nhân công 17-&gt;75'!B5</f>
        <v>Chuẩn bị nhân lực, địa điểm làm việc; chuẩn bị vật tư, thiết bị, dụng cụ, cài đặt phần mềm phục vụ cho công tác chuyển đổi, bổ sung, hoàn thiện CSDL địa chính</v>
      </c>
      <c r="C16" s="386" t="str">
        <f>'Nhân công 17-&gt;75'!C5</f>
        <v>Thửa</v>
      </c>
      <c r="D16" s="319">
        <f>'Nhân công 17-&gt;75'!E5</f>
        <v>2.9999999999999997E-4</v>
      </c>
      <c r="E16" s="319">
        <v>8.6E-3</v>
      </c>
      <c r="F16" s="1174">
        <f t="shared" ref="F16:F33" si="1">E16*$I$4</f>
        <v>0.74849016730769236</v>
      </c>
      <c r="G16" s="1077">
        <f>F16*10000</f>
        <v>7484.9016730769235</v>
      </c>
      <c r="H16" s="225"/>
      <c r="I16" s="1446"/>
      <c r="J16" s="1503"/>
      <c r="K16" s="1498"/>
      <c r="L16" s="1498"/>
    </row>
    <row r="17" spans="1:12" ht="15.75">
      <c r="A17" s="412">
        <f>'Nhân công 17-&gt;75'!A6</f>
        <v>2</v>
      </c>
      <c r="B17" s="413" t="str">
        <f>'Nhân công 17-&gt;75'!B6</f>
        <v>Chuyển đổi dữ liệu địa chính</v>
      </c>
      <c r="C17" s="386"/>
      <c r="D17" s="319"/>
      <c r="E17" s="319"/>
      <c r="F17" s="1174">
        <f t="shared" si="1"/>
        <v>0</v>
      </c>
      <c r="G17" s="1079">
        <f t="shared" ref="G17:G21" si="2">F17</f>
        <v>0</v>
      </c>
      <c r="H17" s="225"/>
      <c r="I17" s="1446"/>
      <c r="J17" s="1503"/>
      <c r="K17" s="1498"/>
      <c r="L17" s="1498"/>
    </row>
    <row r="18" spans="1:12" ht="31.5">
      <c r="A18" s="236" t="str">
        <f>'Nhân công 17-&gt;75'!A7</f>
        <v>2.1</v>
      </c>
      <c r="B18" s="391" t="str">
        <f>'Nhân công 17-&gt;75'!B7</f>
        <v>Lập mô hình chuyển đổi cấu trúc dữ liệu của CSDL địa chính đã xây dựng sang cấu trúc dữ liệu hiện hành</v>
      </c>
      <c r="C18" s="386" t="str">
        <f>'Nhân công 17-&gt;75'!C7</f>
        <v>Thửa</v>
      </c>
      <c r="D18" s="319">
        <f>'Nhân công 17-&gt;75'!E7</f>
        <v>1E-3</v>
      </c>
      <c r="E18" s="319">
        <v>2.87E-2</v>
      </c>
      <c r="F18" s="1174">
        <f t="shared" si="1"/>
        <v>2.4978683490384617</v>
      </c>
      <c r="G18" s="1079"/>
      <c r="H18" s="225"/>
      <c r="I18" s="1446"/>
      <c r="J18" s="1503"/>
      <c r="K18" s="1498"/>
      <c r="L18" s="1498"/>
    </row>
    <row r="19" spans="1:12" ht="15.75">
      <c r="A19" s="236" t="str">
        <f>'Nhân công 17-&gt;75'!A8</f>
        <v>2.2</v>
      </c>
      <c r="B19" s="391" t="str">
        <f>'Nhân công 17-&gt;75'!B8</f>
        <v>Chuyển đổi cấu trúc dữ liệu không gian địa chính</v>
      </c>
      <c r="C19" s="386" t="str">
        <f>'Nhân công 17-&gt;75'!C8</f>
        <v>Thửa</v>
      </c>
      <c r="D19" s="319">
        <f>'Nhân công 17-&gt;75'!E8</f>
        <v>2.9999999999999997E-4</v>
      </c>
      <c r="E19" s="319">
        <v>8.6E-3</v>
      </c>
      <c r="F19" s="1174">
        <f t="shared" si="1"/>
        <v>0.74849016730769236</v>
      </c>
      <c r="G19" s="1079">
        <f t="shared" si="2"/>
        <v>0.74849016730769236</v>
      </c>
      <c r="H19" s="225"/>
      <c r="I19" s="1446"/>
      <c r="J19" s="1503"/>
      <c r="K19" s="1498"/>
      <c r="L19" s="1498"/>
    </row>
    <row r="20" spans="1:12" ht="15.75">
      <c r="A20" s="236" t="str">
        <f>'Nhân công 17-&gt;75'!A9</f>
        <v>2.3</v>
      </c>
      <c r="B20" s="391" t="str">
        <f>'Nhân công 17-&gt;75'!B9</f>
        <v>Chuyển đổi cấu trúc dữ liệu thuộc tính địa chính</v>
      </c>
      <c r="C20" s="386" t="str">
        <f>'Nhân công 17-&gt;75'!C9</f>
        <v>Thửa</v>
      </c>
      <c r="D20" s="319">
        <f>'Nhân công 17-&gt;75'!E9</f>
        <v>2.9999999999999997E-4</v>
      </c>
      <c r="E20" s="319">
        <v>8.6E-3</v>
      </c>
      <c r="F20" s="1174">
        <f t="shared" si="1"/>
        <v>0.74849016730769236</v>
      </c>
      <c r="G20" s="1079">
        <f t="shared" si="2"/>
        <v>0.74849016730769236</v>
      </c>
      <c r="H20" s="225"/>
      <c r="I20" s="1446"/>
      <c r="J20" s="1503"/>
      <c r="K20" s="1498"/>
      <c r="L20" s="1498"/>
    </row>
    <row r="21" spans="1:12" ht="15.75">
      <c r="A21" s="236" t="str">
        <f>'Nhân công 17-&gt;75'!A10</f>
        <v>2.4</v>
      </c>
      <c r="B21" s="391" t="str">
        <f>'Nhân công 17-&gt;75'!B10</f>
        <v>Chuyển đổi cấu trúc dữ liệu hồ sơ quét</v>
      </c>
      <c r="C21" s="386" t="str">
        <f>'Nhân công 17-&gt;75'!C10</f>
        <v>Thửa</v>
      </c>
      <c r="D21" s="319">
        <f>'Nhân công 17-&gt;75'!E10</f>
        <v>1E-4</v>
      </c>
      <c r="E21" s="319">
        <v>2.8999999999999998E-3</v>
      </c>
      <c r="F21" s="1174">
        <f t="shared" si="1"/>
        <v>0.2523978471153846</v>
      </c>
      <c r="G21" s="1079">
        <f t="shared" si="2"/>
        <v>0.2523978471153846</v>
      </c>
      <c r="H21" s="225"/>
      <c r="I21" s="1446"/>
      <c r="J21" s="1503"/>
      <c r="K21" s="1498"/>
      <c r="L21" s="1498"/>
    </row>
    <row r="22" spans="1:12" ht="15.75">
      <c r="A22" s="412">
        <f>'Nhân công 17-&gt;75'!A11</f>
        <v>3</v>
      </c>
      <c r="B22" s="413" t="str">
        <f>'Nhân công 17-&gt;75'!B11</f>
        <v>Bổ sung, hoàn thiện dữ liệu địa chính</v>
      </c>
      <c r="C22" s="1254"/>
      <c r="D22" s="1154"/>
      <c r="E22" s="319"/>
      <c r="F22" s="1174">
        <f t="shared" si="1"/>
        <v>0</v>
      </c>
      <c r="H22" s="225"/>
      <c r="I22" s="1446"/>
      <c r="J22" s="1503"/>
      <c r="K22" s="1498"/>
      <c r="L22" s="1498"/>
    </row>
    <row r="23" spans="1:12" ht="15.75">
      <c r="A23" s="236" t="str">
        <f>'Nhân công 17-&gt;75'!A12</f>
        <v>3.1</v>
      </c>
      <c r="B23" s="391" t="str">
        <f>'Nhân công 17-&gt;75'!B12</f>
        <v xml:space="preserve">Rà soát, bổ sung dữ liệu không gian địa chính </v>
      </c>
      <c r="C23" s="386" t="str">
        <f>'Nhân công 17-&gt;75'!C12</f>
        <v>Thửa</v>
      </c>
      <c r="D23" s="319">
        <f>'Nhân công 17-&gt;75'!E12</f>
        <v>1.2999999999999999E-3</v>
      </c>
      <c r="E23" s="319">
        <v>3.73E-2</v>
      </c>
      <c r="F23" s="1174">
        <f t="shared" si="1"/>
        <v>3.2463585163461537</v>
      </c>
      <c r="H23" s="225"/>
      <c r="I23" s="1446"/>
      <c r="J23" s="1503"/>
      <c r="K23" s="1498"/>
      <c r="L23" s="1498"/>
    </row>
    <row r="24" spans="1:12" ht="15.75">
      <c r="A24" s="236" t="str">
        <f>'Nhân công 17-&gt;75'!A13</f>
        <v>3.2</v>
      </c>
      <c r="B24" s="391" t="str">
        <f>'Nhân công 17-&gt;75'!B13</f>
        <v>Rà soát, bổ sung dữ liệu thuộc tính địa chính</v>
      </c>
      <c r="C24" s="386" t="str">
        <f>'Nhân công 17-&gt;75'!C13</f>
        <v>Thửa</v>
      </c>
      <c r="D24" s="319">
        <f>'Nhân công 17-&gt;75'!E13</f>
        <v>1.37E-2</v>
      </c>
      <c r="E24" s="319">
        <v>0.39250000000000002</v>
      </c>
      <c r="F24" s="1174">
        <f t="shared" si="1"/>
        <v>34.16074310096154</v>
      </c>
      <c r="H24" s="225"/>
      <c r="I24" s="1446"/>
      <c r="J24" s="1503"/>
      <c r="K24" s="1498"/>
      <c r="L24" s="1498"/>
    </row>
    <row r="25" spans="1:12" ht="31.5">
      <c r="A25" s="236" t="str">
        <f>'Nhân công 17-&gt;75'!A14</f>
        <v>3.3</v>
      </c>
      <c r="B25" s="391" t="str">
        <f>'Nhân công 17-&gt;75'!B14</f>
        <v>Thực hiện hoàn thiện 100% thông tin trong CSDL đã được chuyển đổi, bổ sung</v>
      </c>
      <c r="C25" s="386" t="str">
        <f>'Nhân công 17-&gt;75'!C14</f>
        <v>Thửa</v>
      </c>
      <c r="D25" s="319">
        <f>'Nhân công 17-&gt;75'!E14</f>
        <v>2E-3</v>
      </c>
      <c r="E25" s="319">
        <v>5.74E-2</v>
      </c>
      <c r="F25" s="1174">
        <f t="shared" si="1"/>
        <v>4.9957366980769233</v>
      </c>
      <c r="H25" s="225"/>
      <c r="I25" s="1446"/>
      <c r="J25" s="1503"/>
      <c r="K25" s="1498"/>
      <c r="L25" s="1498"/>
    </row>
    <row r="26" spans="1:12" ht="31.5">
      <c r="A26" s="236" t="str">
        <f>'Nhân công 17-&gt;75'!A15</f>
        <v>3.4</v>
      </c>
      <c r="B26" s="391" t="str">
        <f>'Nhân công 17-&gt;75'!B15</f>
        <v>Thực hiện xuất Sổ địa chính (điện tử) đối với những thửa đất chưa có Sổ địa chính (điện tử)</v>
      </c>
      <c r="C26" s="386" t="str">
        <f>'Nhân công 17-&gt;75'!C15</f>
        <v>Thửa</v>
      </c>
      <c r="D26" s="319">
        <f>'Nhân công 17-&gt;75'!E15</f>
        <v>2.5000000000000001E-3</v>
      </c>
      <c r="E26" s="319">
        <v>7.17E-2</v>
      </c>
      <c r="F26" s="1174">
        <f t="shared" si="1"/>
        <v>6.2403191855769231</v>
      </c>
      <c r="H26" s="225"/>
      <c r="I26" s="1446"/>
      <c r="J26" s="1503"/>
      <c r="K26" s="1498"/>
      <c r="L26" s="1498"/>
    </row>
    <row r="27" spans="1:12" ht="15.75">
      <c r="A27" s="412">
        <f>'Nhân công 17-&gt;75'!A16</f>
        <v>4</v>
      </c>
      <c r="B27" s="413" t="str">
        <f>'Nhân công 17-&gt;75'!B16</f>
        <v>Xây dựng siêu dữ liệu địa chính</v>
      </c>
      <c r="C27" s="1254"/>
      <c r="D27" s="1154"/>
      <c r="E27" s="319"/>
      <c r="F27" s="1174">
        <f t="shared" si="1"/>
        <v>0</v>
      </c>
      <c r="H27" s="225"/>
      <c r="I27" s="1446"/>
      <c r="J27" s="1503"/>
      <c r="K27" s="1498"/>
      <c r="L27" s="1498"/>
    </row>
    <row r="28" spans="1:12" ht="15.75">
      <c r="A28" s="236" t="str">
        <f>'Nhân công 17-&gt;75'!A17</f>
        <v>4.1</v>
      </c>
      <c r="B28" s="391" t="str">
        <f>'Nhân công 17-&gt;75'!B17</f>
        <v>Chuyển đổi siêu dữ liệu địa chính</v>
      </c>
      <c r="C28" s="386" t="str">
        <f>'Nhân công 17-&gt;75'!C17</f>
        <v>Thửa</v>
      </c>
      <c r="D28" s="319">
        <f>'Nhân công 17-&gt;75'!E17</f>
        <v>1E-4</v>
      </c>
      <c r="E28" s="319">
        <v>2.8999999999999998E-3</v>
      </c>
      <c r="F28" s="1174">
        <f t="shared" si="1"/>
        <v>0.2523978471153846</v>
      </c>
      <c r="H28" s="225"/>
      <c r="I28" s="1446"/>
      <c r="J28" s="1503"/>
      <c r="K28" s="1498"/>
      <c r="L28" s="1498"/>
    </row>
    <row r="29" spans="1:12" ht="31.5">
      <c r="A29" s="236" t="str">
        <f>'Nhân công 17-&gt;75'!A18</f>
        <v>4.2</v>
      </c>
      <c r="B29" s="391" t="str">
        <f>'Nhân công 17-&gt;75'!B18</f>
        <v>Thu nhận bổ sung các thông tin cần thiết để xây dựng siêu dữ liệu địa chính (thu nhận bổ sung thông tin)</v>
      </c>
      <c r="C29" s="386" t="str">
        <f>'Nhân công 17-&gt;75'!C18</f>
        <v>Thửa</v>
      </c>
      <c r="D29" s="319">
        <f>'Nhân công 17-&gt;75'!E18</f>
        <v>1.9E-3</v>
      </c>
      <c r="E29" s="319">
        <v>5.3800000000000001E-2</v>
      </c>
      <c r="F29" s="1174">
        <f t="shared" si="1"/>
        <v>4.6824152326923079</v>
      </c>
      <c r="H29" s="225"/>
      <c r="I29" s="1446"/>
      <c r="J29" s="1503"/>
      <c r="K29" s="1498"/>
      <c r="L29" s="1498"/>
    </row>
    <row r="30" spans="1:12" ht="31.5">
      <c r="A30" s="236" t="str">
        <f>'Nhân công 17-&gt;75'!A19</f>
        <v>4.3</v>
      </c>
      <c r="B30" s="391" t="str">
        <f>'Nhân công 17-&gt;75'!B19</f>
        <v>Nhập bổ sung thông tin siêu dữ liệu địa chính cho từng đơn vị hành chính cấp xã</v>
      </c>
      <c r="C30" s="386" t="str">
        <f>'Nhân công 17-&gt;75'!C19</f>
        <v>Thửa</v>
      </c>
      <c r="D30" s="319">
        <f>'Nhân công 17-&gt;75'!E19</f>
        <v>1E-4</v>
      </c>
      <c r="E30" s="319">
        <v>2.8999999999999998E-3</v>
      </c>
      <c r="F30" s="1174">
        <f t="shared" si="1"/>
        <v>0.2523978471153846</v>
      </c>
      <c r="H30" s="225"/>
      <c r="I30" s="1446"/>
      <c r="J30" s="1503"/>
      <c r="K30" s="1498"/>
      <c r="L30" s="1498"/>
    </row>
    <row r="31" spans="1:12" ht="15.75">
      <c r="A31" s="412">
        <f>'Nhân công 17-&gt;75'!A20</f>
        <v>5</v>
      </c>
      <c r="B31" s="413" t="str">
        <f>'Nhân công 17-&gt;75'!B20</f>
        <v>Đối soát dữ liệu (do Văn phòng đăng ký đất đai thực hiện)</v>
      </c>
      <c r="C31" s="1254"/>
      <c r="D31" s="1154"/>
      <c r="E31" s="319"/>
      <c r="F31" s="1174">
        <f t="shared" si="1"/>
        <v>0</v>
      </c>
      <c r="H31" s="225"/>
      <c r="I31" s="1446"/>
      <c r="J31" s="1503"/>
      <c r="K31" s="1498"/>
      <c r="L31" s="1498"/>
    </row>
    <row r="32" spans="1:12" ht="47.25">
      <c r="A32" s="236" t="str">
        <f>'Nhân công 17-&gt;75'!A21</f>
        <v>5.1</v>
      </c>
      <c r="B32" s="391" t="str">
        <f>'Nhân công 17-&gt;75'!B21</f>
        <v>Đối soát thông tin của thửa đất trong CSDL đã được chuyển đổi, bổ sung với nguồn tài liệu, dữ liệu đã sử dụng để xây dựng CSDL đối với trường hợp phải xuất mới sổ địa chính (điện tử)</v>
      </c>
      <c r="C32" s="386" t="str">
        <f>'Nhân công 17-&gt;75'!C21</f>
        <v>Thửa</v>
      </c>
      <c r="D32" s="319">
        <f>'Nhân công 17-&gt;75'!E21</f>
        <v>5.0000000000000001E-3</v>
      </c>
      <c r="E32" s="319">
        <v>0.1434</v>
      </c>
      <c r="F32" s="1174">
        <f t="shared" si="1"/>
        <v>12.480638371153846</v>
      </c>
      <c r="H32" s="225"/>
      <c r="I32" s="1446"/>
      <c r="J32" s="1503"/>
      <c r="K32" s="1498"/>
      <c r="L32" s="1498"/>
    </row>
    <row r="33" spans="1:12" ht="31.5">
      <c r="A33" s="236" t="str">
        <f>'Nhân công 17-&gt;75'!A22</f>
        <v>5.2</v>
      </c>
      <c r="B33" s="391" t="str">
        <f>'Nhân công 17-&gt;75'!B22</f>
        <v>Thực hiện ký số vào Sổ địa chính (điện tử) đối với trường hợp xuất mới sổ địa chính (điện tử)</v>
      </c>
      <c r="C33" s="386" t="str">
        <f>'Nhân công 17-&gt;75'!C22</f>
        <v>Thửa</v>
      </c>
      <c r="D33" s="319">
        <f>'Nhân công 17-&gt;75'!E22</f>
        <v>5.0000000000000001E-3</v>
      </c>
      <c r="E33" s="319">
        <v>0.1434</v>
      </c>
      <c r="F33" s="1174">
        <f t="shared" si="1"/>
        <v>12.480638371153846</v>
      </c>
      <c r="H33" s="225"/>
      <c r="I33" s="1446"/>
      <c r="J33" s="1503"/>
      <c r="K33" s="1498"/>
      <c r="L33" s="1498"/>
    </row>
    <row r="34" spans="1:12" ht="15.75">
      <c r="A34" s="412">
        <f>'Nhân công 17-&gt;75'!A23</f>
        <v>6</v>
      </c>
      <c r="B34" s="413" t="str">
        <f>'Nhân công 17-&gt;75'!B23</f>
        <v>Phục vụ kiểm tra, nghiệm thu CSDL địa chính</v>
      </c>
      <c r="C34" s="1254"/>
      <c r="D34" s="1154"/>
      <c r="E34" s="319"/>
      <c r="F34" s="1174">
        <f>E34*$I$4</f>
        <v>0</v>
      </c>
      <c r="H34" s="225"/>
      <c r="I34" s="1446"/>
      <c r="J34" s="1503"/>
      <c r="K34" s="1498"/>
      <c r="L34" s="1498"/>
    </row>
    <row r="35" spans="1:12" ht="47.25">
      <c r="A35" s="236"/>
      <c r="B35" s="391" t="str">
        <f>'Nhân công 17-&gt;75'!B24</f>
        <v>Chuẩn bị tư liệu, tài liệu và phục vụ giám sát, kiểm tra, nghiệm thu; tổng hợp, xác định khối lượng sản phẩm đã thực hiện khi kết thúc công trình; lập biên bản bàn giao dữ liệu địa chính</v>
      </c>
      <c r="C35" s="386" t="str">
        <f>'Nhân công 17-&gt;75'!C24</f>
        <v>Thửa</v>
      </c>
      <c r="D35" s="319">
        <f>'Nhân công 17-&gt;75'!E24</f>
        <v>1E-3</v>
      </c>
      <c r="E35" s="319">
        <v>2.87E-2</v>
      </c>
      <c r="F35" s="1174">
        <f>E35*$I$4</f>
        <v>2.4978683490384617</v>
      </c>
      <c r="H35" s="225"/>
      <c r="I35" s="1446"/>
      <c r="J35" s="1503"/>
      <c r="K35" s="1498"/>
      <c r="L35" s="1498"/>
    </row>
    <row r="36" spans="1:12">
      <c r="D36" s="1075">
        <f>SUM(D14:D35)</f>
        <v>3.4899999999999994E-2</v>
      </c>
      <c r="E36" s="1173">
        <f>SUM(E15:E35)</f>
        <v>0.99999999999999989</v>
      </c>
      <c r="F36" s="1282">
        <f>SUM(F15:F35)</f>
        <v>87.033740384615371</v>
      </c>
      <c r="I36" s="1448"/>
      <c r="J36" s="1498"/>
      <c r="K36" s="1498"/>
      <c r="L36" s="1498"/>
    </row>
    <row r="37" spans="1:12">
      <c r="F37" s="1309">
        <f>F36*8000</f>
        <v>696269.92307692301</v>
      </c>
      <c r="I37" s="1448"/>
      <c r="J37" s="1498"/>
      <c r="K37" s="1498"/>
      <c r="L37" s="1498"/>
    </row>
  </sheetData>
  <mergeCells count="4">
    <mergeCell ref="A1:I1"/>
    <mergeCell ref="A3:A4"/>
    <mergeCell ref="B3:B4"/>
    <mergeCell ref="D3:D4"/>
  </mergeCells>
  <printOptions horizontalCentered="1"/>
  <pageMargins left="0.5" right="0.5" top="0.5" bottom="0.5" header="0.5" footer="0.25"/>
  <pageSetup orientation="landscape"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O33"/>
  <sheetViews>
    <sheetView zoomScale="85" zoomScaleNormal="85" workbookViewId="0">
      <pane ySplit="2" topLeftCell="A22" activePane="bottomLeft" state="frozen"/>
      <selection activeCell="H8" sqref="H8"/>
      <selection pane="bottomLeft" activeCell="H8" sqref="H8"/>
    </sheetView>
  </sheetViews>
  <sheetFormatPr defaultColWidth="9" defaultRowHeight="15.75"/>
  <cols>
    <col min="1" max="1" width="5.125" style="232" customWidth="1"/>
    <col min="2" max="2" width="40.375" style="232" customWidth="1"/>
    <col min="3" max="3" width="7.875" style="232" customWidth="1"/>
    <col min="4" max="4" width="11.75" style="232" customWidth="1"/>
    <col min="5" max="5" width="12.5" style="834" bestFit="1" customWidth="1"/>
    <col min="6" max="6" width="10.375" style="1262" hidden="1" customWidth="1"/>
    <col min="7" max="7" width="8.25" style="834" customWidth="1"/>
    <col min="8" max="8" width="11.625" style="835" customWidth="1"/>
    <col min="9" max="9" width="14.125" style="836" customWidth="1"/>
    <col min="10" max="10" width="29.625" style="300" hidden="1" customWidth="1"/>
    <col min="11" max="11" width="18.625" style="232" customWidth="1"/>
    <col min="12" max="12" width="17.125" style="232" customWidth="1"/>
    <col min="13" max="13" width="12.875" style="232" bestFit="1" customWidth="1"/>
    <col min="14" max="15" width="9" style="233"/>
    <col min="16" max="16" width="14.625" style="233" customWidth="1"/>
    <col min="17" max="17" width="18.375" style="233" customWidth="1"/>
    <col min="18" max="16384" width="9" style="233"/>
  </cols>
  <sheetData>
    <row r="1" spans="1:13" ht="25.5" customHeight="1"/>
    <row r="2" spans="1:13" ht="47.25">
      <c r="A2" s="1364" t="s">
        <v>9</v>
      </c>
      <c r="B2" s="1364" t="s">
        <v>109</v>
      </c>
      <c r="C2" s="1364" t="s">
        <v>20</v>
      </c>
      <c r="D2" s="1364" t="s">
        <v>7</v>
      </c>
      <c r="E2" s="1361" t="s">
        <v>993</v>
      </c>
      <c r="F2" s="1361" t="s">
        <v>882</v>
      </c>
      <c r="G2" s="1361" t="s">
        <v>111</v>
      </c>
      <c r="H2" s="1366" t="s">
        <v>246</v>
      </c>
      <c r="I2" s="1388" t="s">
        <v>922</v>
      </c>
      <c r="J2" s="1360" t="s">
        <v>6</v>
      </c>
      <c r="K2" s="1361" t="s">
        <v>19</v>
      </c>
      <c r="L2" s="1362">
        <v>8000</v>
      </c>
      <c r="M2" s="1358"/>
    </row>
    <row r="3" spans="1:13" s="352" customFormat="1" ht="31.5" customHeight="1">
      <c r="A3" s="1364">
        <v>1</v>
      </c>
      <c r="B3" s="1365" t="s">
        <v>860</v>
      </c>
      <c r="C3" s="1364"/>
      <c r="D3" s="1364"/>
      <c r="E3" s="1361"/>
      <c r="F3" s="1361"/>
      <c r="G3" s="1361"/>
      <c r="H3" s="1367"/>
      <c r="I3" s="1389"/>
      <c r="J3" s="1390"/>
      <c r="K3" s="1367">
        <f>K4+K5</f>
        <v>1797930.2769230769</v>
      </c>
      <c r="L3" s="1369"/>
      <c r="M3" s="1369"/>
    </row>
    <row r="4" spans="1:13" s="352" customFormat="1" ht="94.5">
      <c r="A4" s="1370" t="s">
        <v>156</v>
      </c>
      <c r="B4" s="1371" t="s">
        <v>1036</v>
      </c>
      <c r="C4" s="1370" t="s">
        <v>1</v>
      </c>
      <c r="D4" s="1370" t="str">
        <f>'Nhân công'!D5</f>
        <v>Nhóm 2 (1KTV2+1KS4)</v>
      </c>
      <c r="E4" s="1391">
        <v>2.9999999999999997E-4</v>
      </c>
      <c r="F4" s="1998">
        <v>5.0000000000000001E-4</v>
      </c>
      <c r="G4" s="1391">
        <f>E4*2</f>
        <v>5.9999999999999995E-4</v>
      </c>
      <c r="H4" s="1373">
        <f>(L_CBan!K46+L_CBan!K39)/2</f>
        <v>191884.77884615384</v>
      </c>
      <c r="I4" s="1381">
        <f>G4*H4</f>
        <v>115.1308673076923</v>
      </c>
      <c r="J4" s="1996" t="s">
        <v>959</v>
      </c>
      <c r="K4" s="1373">
        <f>I4*$L$2</f>
        <v>921046.9384615384</v>
      </c>
      <c r="L4" s="1369" t="s">
        <v>946</v>
      </c>
      <c r="M4" s="1369"/>
    </row>
    <row r="5" spans="1:13" s="352" customFormat="1" ht="63">
      <c r="A5" s="1370" t="s">
        <v>157</v>
      </c>
      <c r="B5" s="1371" t="s">
        <v>1037</v>
      </c>
      <c r="C5" s="1370" t="s">
        <v>1</v>
      </c>
      <c r="D5" s="1370" t="str">
        <f>'Nhân công'!D6</f>
        <v>Nhóm 2 (1KTV4+1KS2)</v>
      </c>
      <c r="E5" s="1391">
        <v>2.9999999999999997E-4</v>
      </c>
      <c r="F5" s="1999"/>
      <c r="G5" s="1391">
        <f>E5*2</f>
        <v>5.9999999999999995E-4</v>
      </c>
      <c r="H5" s="1373">
        <f>(L_CBan!K48+L_CBan!K37)/2</f>
        <v>182684.02884615387</v>
      </c>
      <c r="I5" s="1381">
        <f t="shared" ref="I5:I19" si="0">G5*H5</f>
        <v>109.61041730769232</v>
      </c>
      <c r="J5" s="1997"/>
      <c r="K5" s="1373">
        <f t="shared" ref="K5:K19" si="1">I5*$L$2</f>
        <v>876883.33846153854</v>
      </c>
      <c r="L5" s="1369"/>
      <c r="M5" s="1369"/>
    </row>
    <row r="6" spans="1:13">
      <c r="A6" s="1364">
        <v>2</v>
      </c>
      <c r="B6" s="1365" t="s">
        <v>865</v>
      </c>
      <c r="C6" s="1365"/>
      <c r="D6" s="1365"/>
      <c r="E6" s="1392"/>
      <c r="F6" s="1392"/>
      <c r="G6" s="1392"/>
      <c r="H6" s="1367"/>
      <c r="I6" s="1381">
        <f>SUM(I7:I10)</f>
        <v>346.55193653846152</v>
      </c>
      <c r="J6" s="1375"/>
      <c r="K6" s="1367">
        <f>SUM(K7:K10)</f>
        <v>2741997.0276923073</v>
      </c>
      <c r="L6" s="1358"/>
      <c r="M6" s="1358"/>
    </row>
    <row r="7" spans="1:13" ht="50.25" customHeight="1">
      <c r="A7" s="1370" t="s">
        <v>119</v>
      </c>
      <c r="B7" s="1371" t="s">
        <v>1038</v>
      </c>
      <c r="C7" s="1393" t="s">
        <v>1</v>
      </c>
      <c r="D7" s="1393" t="s">
        <v>913</v>
      </c>
      <c r="E7" s="1394">
        <v>1E-3</v>
      </c>
      <c r="F7" s="1394"/>
      <c r="G7" s="1394">
        <f>E7</f>
        <v>1E-3</v>
      </c>
      <c r="H7" s="1373">
        <f>L_CBan!K38</f>
        <v>213471.15384615384</v>
      </c>
      <c r="I7" s="1381">
        <f t="shared" si="0"/>
        <v>213.47115384615384</v>
      </c>
      <c r="J7" s="1395" t="s">
        <v>896</v>
      </c>
      <c r="K7" s="1373">
        <f t="shared" si="1"/>
        <v>1707769.2307692308</v>
      </c>
      <c r="L7" s="1358"/>
      <c r="M7" s="1358"/>
    </row>
    <row r="8" spans="1:13">
      <c r="A8" s="1370" t="s">
        <v>158</v>
      </c>
      <c r="B8" s="1371" t="s">
        <v>866</v>
      </c>
      <c r="C8" s="1370" t="s">
        <v>1</v>
      </c>
      <c r="D8" s="1393" t="s">
        <v>915</v>
      </c>
      <c r="E8" s="1391">
        <v>2.9999999999999997E-4</v>
      </c>
      <c r="F8" s="1998">
        <v>5.9999999999999995E-4</v>
      </c>
      <c r="G8" s="1391">
        <f>E8</f>
        <v>2.9999999999999997E-4</v>
      </c>
      <c r="H8" s="1373">
        <f>L_CBan!K37</f>
        <v>190115.40384615384</v>
      </c>
      <c r="I8" s="1381">
        <f t="shared" si="0"/>
        <v>57.034621153846146</v>
      </c>
      <c r="J8" s="1395" t="s">
        <v>798</v>
      </c>
      <c r="K8" s="1373">
        <f t="shared" si="1"/>
        <v>456276.96923076914</v>
      </c>
      <c r="L8" s="1358"/>
      <c r="M8" s="1358"/>
    </row>
    <row r="9" spans="1:13">
      <c r="A9" s="1370" t="s">
        <v>159</v>
      </c>
      <c r="B9" s="1371" t="s">
        <v>867</v>
      </c>
      <c r="C9" s="1370" t="s">
        <v>1</v>
      </c>
      <c r="D9" s="1393" t="s">
        <v>915</v>
      </c>
      <c r="E9" s="1391">
        <v>2.9999999999999997E-4</v>
      </c>
      <c r="F9" s="1999"/>
      <c r="G9" s="1391">
        <f>E9</f>
        <v>2.9999999999999997E-4</v>
      </c>
      <c r="H9" s="1373">
        <f>L_CBan!K37</f>
        <v>190115.40384615384</v>
      </c>
      <c r="I9" s="1381">
        <f t="shared" si="0"/>
        <v>57.034621153846146</v>
      </c>
      <c r="J9" s="1395" t="s">
        <v>798</v>
      </c>
      <c r="K9" s="1373">
        <f>I9*$L$2</f>
        <v>456276.96923076914</v>
      </c>
      <c r="L9" s="1358"/>
      <c r="M9" s="1358"/>
    </row>
    <row r="10" spans="1:13" ht="31.5">
      <c r="A10" s="1370" t="s">
        <v>230</v>
      </c>
      <c r="B10" s="1371" t="s">
        <v>868</v>
      </c>
      <c r="C10" s="1370" t="s">
        <v>1</v>
      </c>
      <c r="D10" s="1393" t="s">
        <v>915</v>
      </c>
      <c r="E10" s="1391">
        <v>1E-4</v>
      </c>
      <c r="F10" s="1391"/>
      <c r="G10" s="1391">
        <f>E10</f>
        <v>1E-4</v>
      </c>
      <c r="H10" s="1373">
        <f>L_CBan!K37</f>
        <v>190115.40384615384</v>
      </c>
      <c r="I10" s="1381">
        <f t="shared" si="0"/>
        <v>19.011540384615387</v>
      </c>
      <c r="J10" s="1371" t="s">
        <v>803</v>
      </c>
      <c r="K10" s="1373">
        <f>I10*$L$2*80%</f>
        <v>121673.85846153848</v>
      </c>
      <c r="L10" s="1358"/>
      <c r="M10" s="1358"/>
    </row>
    <row r="11" spans="1:13">
      <c r="A11" s="1364">
        <v>3</v>
      </c>
      <c r="B11" s="1365" t="s">
        <v>869</v>
      </c>
      <c r="C11" s="1364"/>
      <c r="D11" s="1364"/>
      <c r="E11" s="1392"/>
      <c r="F11" s="1392"/>
      <c r="G11" s="1392"/>
      <c r="H11" s="1379"/>
      <c r="I11" s="1381"/>
      <c r="J11" s="1375"/>
      <c r="K11" s="1367">
        <f>SUM(K12:K15)</f>
        <v>20078351.043076925</v>
      </c>
      <c r="L11" s="1358"/>
      <c r="M11" s="1358"/>
    </row>
    <row r="12" spans="1:13" ht="47.25">
      <c r="A12" s="1370" t="s">
        <v>120</v>
      </c>
      <c r="B12" s="1371" t="s">
        <v>870</v>
      </c>
      <c r="C12" s="1370" t="s">
        <v>1</v>
      </c>
      <c r="D12" s="1370" t="s">
        <v>46</v>
      </c>
      <c r="E12" s="1391">
        <v>1.2999999999999999E-3</v>
      </c>
      <c r="F12" s="1391">
        <v>1.2999999999999999E-3</v>
      </c>
      <c r="G12" s="1391">
        <f>E12</f>
        <v>1.2999999999999999E-3</v>
      </c>
      <c r="H12" s="1373">
        <f>L_CBan!K36</f>
        <v>166759.65384615384</v>
      </c>
      <c r="I12" s="1381">
        <f t="shared" si="0"/>
        <v>216.78754999999998</v>
      </c>
      <c r="J12" s="1375" t="s">
        <v>804</v>
      </c>
      <c r="K12" s="1373">
        <f t="shared" si="1"/>
        <v>1734300.4</v>
      </c>
      <c r="L12" s="1358"/>
      <c r="M12" s="1358"/>
    </row>
    <row r="13" spans="1:13" ht="33.75" customHeight="1">
      <c r="A13" s="1370" t="s">
        <v>155</v>
      </c>
      <c r="B13" s="1371" t="s">
        <v>871</v>
      </c>
      <c r="C13" s="1370" t="s">
        <v>1</v>
      </c>
      <c r="D13" s="1370" t="s">
        <v>46</v>
      </c>
      <c r="E13" s="1391">
        <v>1.37E-2</v>
      </c>
      <c r="F13" s="1391"/>
      <c r="G13" s="1391">
        <f>E13</f>
        <v>1.37E-2</v>
      </c>
      <c r="H13" s="1373">
        <f>L_CBan!K36</f>
        <v>166759.65384615384</v>
      </c>
      <c r="I13" s="1381">
        <f t="shared" si="0"/>
        <v>2284.6072576923079</v>
      </c>
      <c r="J13" s="1375" t="s">
        <v>805</v>
      </c>
      <c r="K13" s="1373">
        <f>I13*$L$2*70%</f>
        <v>12793800.643076925</v>
      </c>
      <c r="L13" s="1358" t="s">
        <v>966</v>
      </c>
      <c r="M13" s="1358"/>
    </row>
    <row r="14" spans="1:13" ht="31.5">
      <c r="A14" s="1370" t="s">
        <v>139</v>
      </c>
      <c r="B14" s="1371" t="s">
        <v>1039</v>
      </c>
      <c r="C14" s="1370" t="str">
        <f>'Nhân công'!C32</f>
        <v>Thửa</v>
      </c>
      <c r="D14" s="1370" t="str">
        <f>'Nhân công'!D32</f>
        <v>1KS3</v>
      </c>
      <c r="E14" s="1391">
        <v>2E-3</v>
      </c>
      <c r="F14" s="1391"/>
      <c r="G14" s="1391">
        <v>2E-3</v>
      </c>
      <c r="H14" s="1374">
        <f>L_CBan!K38</f>
        <v>213471.15384615384</v>
      </c>
      <c r="I14" s="1381">
        <f t="shared" si="0"/>
        <v>426.94230769230768</v>
      </c>
      <c r="J14" s="1375" t="s">
        <v>965</v>
      </c>
      <c r="K14" s="1373">
        <f t="shared" si="1"/>
        <v>3415538.4615384615</v>
      </c>
      <c r="L14" s="1358" t="s">
        <v>948</v>
      </c>
      <c r="M14" s="1358"/>
    </row>
    <row r="15" spans="1:13" ht="56.25" customHeight="1">
      <c r="A15" s="1370" t="s">
        <v>140</v>
      </c>
      <c r="B15" s="1371" t="s">
        <v>822</v>
      </c>
      <c r="C15" s="1370" t="s">
        <v>1</v>
      </c>
      <c r="D15" s="1370" t="str">
        <f>'Nhân công'!D33</f>
        <v>1KS3</v>
      </c>
      <c r="E15" s="1391">
        <v>2.5000000000000001E-3</v>
      </c>
      <c r="F15" s="1391"/>
      <c r="G15" s="1391">
        <v>2.5000000000000001E-3</v>
      </c>
      <c r="H15" s="1374">
        <f>L_CBan!K38</f>
        <v>213471.15384615384</v>
      </c>
      <c r="I15" s="1381">
        <f t="shared" si="0"/>
        <v>533.67788461538464</v>
      </c>
      <c r="J15" s="1375" t="str">
        <f>'Nhân công'!H33</f>
        <v>Lấy theo thông tư Đăng ký (25% định mức của hạng mục Lập, cập nhật hoàn thiện Sổ địa chính điện tử)</v>
      </c>
      <c r="K15" s="1373">
        <f>I15*$L$2*50%</f>
        <v>2134711.5384615385</v>
      </c>
      <c r="L15" s="1358" t="s">
        <v>964</v>
      </c>
      <c r="M15" s="1358"/>
    </row>
    <row r="16" spans="1:13">
      <c r="A16" s="1378">
        <v>4</v>
      </c>
      <c r="B16" s="1365" t="s">
        <v>864</v>
      </c>
      <c r="C16" s="1378"/>
      <c r="D16" s="1364"/>
      <c r="E16" s="1396"/>
      <c r="F16" s="1396"/>
      <c r="G16" s="1396"/>
      <c r="H16" s="1380"/>
      <c r="I16" s="1381"/>
      <c r="J16" s="1371"/>
      <c r="K16" s="1367">
        <f>SUM(K17:K19)</f>
        <v>3080087.5025641024</v>
      </c>
      <c r="L16" s="1358"/>
      <c r="M16" s="1358"/>
    </row>
    <row r="17" spans="1:15" ht="31.5">
      <c r="A17" s="1376" t="s">
        <v>121</v>
      </c>
      <c r="B17" s="1371" t="s">
        <v>873</v>
      </c>
      <c r="C17" s="1376" t="s">
        <v>1</v>
      </c>
      <c r="D17" s="1370" t="s">
        <v>913</v>
      </c>
      <c r="E17" s="1397">
        <v>1E-4</v>
      </c>
      <c r="F17" s="1397"/>
      <c r="G17" s="1397">
        <f>E17/3</f>
        <v>3.3333333333333335E-5</v>
      </c>
      <c r="H17" s="1373">
        <f>L_CBan!K38</f>
        <v>213471.15384615384</v>
      </c>
      <c r="I17" s="1381">
        <f t="shared" ref="I17" si="2">G17*H17</f>
        <v>7.1157051282051285</v>
      </c>
      <c r="J17" s="1371" t="s">
        <v>961</v>
      </c>
      <c r="K17" s="1373">
        <f t="shared" si="1"/>
        <v>56925.641025641031</v>
      </c>
      <c r="L17" s="1358"/>
      <c r="M17" s="1358"/>
    </row>
    <row r="18" spans="1:15" ht="47.25">
      <c r="A18" s="1376" t="s">
        <v>148</v>
      </c>
      <c r="B18" s="1371" t="s">
        <v>976</v>
      </c>
      <c r="C18" s="1376" t="str">
        <f>'Nhân công'!C35</f>
        <v>Thửa</v>
      </c>
      <c r="D18" s="1370" t="str">
        <f>'Nhân công'!D35</f>
        <v>1KS2</v>
      </c>
      <c r="E18" s="1397">
        <v>1.9E-3</v>
      </c>
      <c r="F18" s="1397"/>
      <c r="G18" s="1397">
        <f>E18</f>
        <v>1.9E-3</v>
      </c>
      <c r="H18" s="1373">
        <f>L_CBan!K37</f>
        <v>190115.40384615384</v>
      </c>
      <c r="I18" s="1381">
        <f t="shared" si="0"/>
        <v>361.21926730769229</v>
      </c>
      <c r="J18" s="1371" t="s">
        <v>806</v>
      </c>
      <c r="K18" s="1373">
        <f t="shared" si="1"/>
        <v>2889754.1384615381</v>
      </c>
      <c r="L18" s="1358"/>
      <c r="M18" s="1358"/>
    </row>
    <row r="19" spans="1:15" ht="35.25" customHeight="1">
      <c r="A19" s="1376" t="s">
        <v>872</v>
      </c>
      <c r="B19" s="1371" t="s">
        <v>807</v>
      </c>
      <c r="C19" s="1376" t="str">
        <f>'Nhân công'!C36</f>
        <v>Thửa</v>
      </c>
      <c r="D19" s="1370" t="str">
        <f>'Nhân công'!D36</f>
        <v>1KS1</v>
      </c>
      <c r="E19" s="1397">
        <v>1E-4</v>
      </c>
      <c r="F19" s="1397"/>
      <c r="G19" s="1397">
        <f>E19</f>
        <v>1E-4</v>
      </c>
      <c r="H19" s="1373">
        <f>L_CBan!K36</f>
        <v>166759.65384615384</v>
      </c>
      <c r="I19" s="1381">
        <f t="shared" si="0"/>
        <v>16.675965384615385</v>
      </c>
      <c r="J19" s="1371" t="s">
        <v>900</v>
      </c>
      <c r="K19" s="1373">
        <f t="shared" si="1"/>
        <v>133407.72307692308</v>
      </c>
      <c r="L19" s="1358"/>
      <c r="M19" s="1358"/>
    </row>
    <row r="20" spans="1:15" ht="35.25" customHeight="1">
      <c r="A20" s="1378">
        <v>5</v>
      </c>
      <c r="B20" s="1365" t="s">
        <v>945</v>
      </c>
      <c r="C20" s="1378"/>
      <c r="D20" s="1364"/>
      <c r="E20" s="1396"/>
      <c r="F20" s="1396"/>
      <c r="G20" s="1396"/>
      <c r="H20" s="1373"/>
      <c r="I20" s="1389"/>
      <c r="J20" s="1371"/>
      <c r="K20" s="1367">
        <f>K21+K22</f>
        <v>8071731.153846154</v>
      </c>
      <c r="L20" s="1358"/>
      <c r="M20" s="1358"/>
    </row>
    <row r="21" spans="1:15" ht="87.75" customHeight="1">
      <c r="A21" s="1376" t="s">
        <v>122</v>
      </c>
      <c r="B21" s="1371" t="s">
        <v>1040</v>
      </c>
      <c r="C21" s="1376" t="s">
        <v>1</v>
      </c>
      <c r="D21" s="1370" t="str">
        <f>D19</f>
        <v>1KS1</v>
      </c>
      <c r="E21" s="1391">
        <v>5.0000000000000001E-3</v>
      </c>
      <c r="F21" s="1391"/>
      <c r="G21" s="1397">
        <f>E21</f>
        <v>5.0000000000000001E-3</v>
      </c>
      <c r="H21" s="1373">
        <f>L_CBan!K36</f>
        <v>166759.65384615384</v>
      </c>
      <c r="I21" s="1381">
        <f t="shared" ref="I21:I22" si="3">G21*H21</f>
        <v>833.79826923076928</v>
      </c>
      <c r="J21" s="1371" t="s">
        <v>963</v>
      </c>
      <c r="K21" s="1373">
        <f>I21*$L$2*50%</f>
        <v>3335193.076923077</v>
      </c>
      <c r="L21" s="1358" t="s">
        <v>964</v>
      </c>
      <c r="M21" s="1358"/>
    </row>
    <row r="22" spans="1:15" ht="35.25" customHeight="1">
      <c r="A22" s="1376" t="s">
        <v>141</v>
      </c>
      <c r="B22" s="1371" t="s">
        <v>874</v>
      </c>
      <c r="C22" s="1376" t="s">
        <v>1</v>
      </c>
      <c r="D22" s="1370" t="str">
        <f>'Nhân công'!D39</f>
        <v>1KS4</v>
      </c>
      <c r="E22" s="1391">
        <v>5.0000000000000001E-3</v>
      </c>
      <c r="F22" s="1391"/>
      <c r="G22" s="1397">
        <f>E22</f>
        <v>5.0000000000000001E-3</v>
      </c>
      <c r="H22" s="1373">
        <f>L_CBan!K39</f>
        <v>236826.90384615384</v>
      </c>
      <c r="I22" s="1381">
        <f t="shared" si="3"/>
        <v>1184.1345192307692</v>
      </c>
      <c r="J22" s="1371"/>
      <c r="K22" s="1373">
        <f>I22*$L$2*50%</f>
        <v>4736538.076923077</v>
      </c>
      <c r="L22" s="1358" t="s">
        <v>964</v>
      </c>
      <c r="M22" s="1358"/>
    </row>
    <row r="23" spans="1:15" ht="41.25" customHeight="1">
      <c r="A23" s="1378">
        <v>6</v>
      </c>
      <c r="B23" s="1365" t="s">
        <v>1031</v>
      </c>
      <c r="C23" s="1378"/>
      <c r="D23" s="1370"/>
      <c r="E23" s="1377"/>
      <c r="F23" s="1377"/>
      <c r="G23" s="1377"/>
      <c r="H23" s="1367"/>
      <c r="I23" s="1368"/>
      <c r="J23" s="1371"/>
      <c r="K23" s="1367">
        <f>K24</f>
        <v>1402021.2307692312</v>
      </c>
      <c r="L23" s="1358"/>
      <c r="M23" s="1358"/>
      <c r="N23" s="232"/>
      <c r="O23" s="232"/>
    </row>
    <row r="24" spans="1:15" ht="63">
      <c r="A24" s="1376"/>
      <c r="B24" s="1371" t="s">
        <v>927</v>
      </c>
      <c r="C24" s="1376" t="s">
        <v>1</v>
      </c>
      <c r="D24" s="1370" t="str">
        <f>'Nhân công'!D42</f>
        <v>1KTV4</v>
      </c>
      <c r="E24" s="1372">
        <v>1E-3</v>
      </c>
      <c r="F24" s="1372"/>
      <c r="G24" s="1377">
        <f>E24</f>
        <v>1E-3</v>
      </c>
      <c r="H24" s="1373">
        <f>L_CBan!K48</f>
        <v>175252.65384615387</v>
      </c>
      <c r="I24" s="1374">
        <f>G24*H24</f>
        <v>175.25265384615389</v>
      </c>
      <c r="J24" s="1371" t="s">
        <v>947</v>
      </c>
      <c r="K24" s="1373">
        <f t="shared" ref="K24" si="4">I24*$L$2</f>
        <v>1402021.2307692312</v>
      </c>
      <c r="L24" s="1386">
        <f>27*'Nhân công DL Nen 17-&gt;75'!K13</f>
        <v>87372941.573076919</v>
      </c>
      <c r="M24" s="1358"/>
      <c r="N24" s="232"/>
      <c r="O24" s="232"/>
    </row>
    <row r="25" spans="1:15" s="232" customFormat="1">
      <c r="A25" s="1358"/>
      <c r="B25" s="1358"/>
      <c r="C25" s="1358"/>
      <c r="D25" s="1358"/>
      <c r="E25" s="1382"/>
      <c r="F25" s="1382"/>
      <c r="G25" s="1382"/>
      <c r="H25" s="1363"/>
      <c r="I25" s="1398"/>
      <c r="J25" s="1383" t="s">
        <v>170</v>
      </c>
      <c r="K25" s="1399">
        <f>K3+K6+K11+K16+K20+K23</f>
        <v>37172118.234871797</v>
      </c>
      <c r="L25" s="1387">
        <f>K25</f>
        <v>37172118.234871797</v>
      </c>
      <c r="M25" s="1358"/>
    </row>
    <row r="26" spans="1:15" s="232" customFormat="1">
      <c r="A26" s="1358"/>
      <c r="B26" s="1358"/>
      <c r="C26" s="1358"/>
      <c r="D26" s="1358"/>
      <c r="E26" s="1382"/>
      <c r="F26" s="1382"/>
      <c r="G26" s="1382"/>
      <c r="H26" s="1363"/>
      <c r="I26" s="1398" t="s">
        <v>166</v>
      </c>
      <c r="J26" s="1383" t="s">
        <v>166</v>
      </c>
      <c r="K26" s="1386">
        <f>'Vật liệu 17-&gt;75'!G40</f>
        <v>6126400.0000000028</v>
      </c>
      <c r="L26" s="1387">
        <f>(K26/8000)*L2</f>
        <v>6126400.0000000028</v>
      </c>
      <c r="M26" s="1358"/>
    </row>
    <row r="27" spans="1:15" s="232" customFormat="1">
      <c r="A27" s="1358"/>
      <c r="B27" s="1358"/>
      <c r="C27" s="1358"/>
      <c r="D27" s="1358" t="s">
        <v>954</v>
      </c>
      <c r="E27" s="1382">
        <f>SUM(E4:E24)+0.0006</f>
        <v>3.5499999999999997E-2</v>
      </c>
      <c r="F27" s="1382"/>
      <c r="G27" s="1382"/>
      <c r="H27" s="1363"/>
      <c r="I27" s="1398" t="s">
        <v>167</v>
      </c>
      <c r="J27" s="1383" t="s">
        <v>167</v>
      </c>
      <c r="K27" s="1386">
        <f>'Thiet bi 17-&gt;75'!J97+'Thiet bi 17-&gt;75'!K97</f>
        <v>4732975.963200001</v>
      </c>
      <c r="L27" s="1387">
        <f>(K27/8000)*L2</f>
        <v>4732975.963200001</v>
      </c>
      <c r="M27" s="1358"/>
    </row>
    <row r="28" spans="1:15" s="232" customFormat="1">
      <c r="A28" s="1358"/>
      <c r="B28" s="1358"/>
      <c r="C28" s="1358"/>
      <c r="D28" s="1358" t="s">
        <v>962</v>
      </c>
      <c r="E28" s="1382">
        <f>E4+E5+E21+E22</f>
        <v>1.06E-2</v>
      </c>
      <c r="F28" s="1400">
        <f>E28/E27</f>
        <v>0.29859154929577469</v>
      </c>
      <c r="G28" s="1382"/>
      <c r="H28" s="1363"/>
      <c r="I28" s="1398" t="s">
        <v>168</v>
      </c>
      <c r="J28" s="1383" t="s">
        <v>168</v>
      </c>
      <c r="K28" s="1386">
        <f>'Dụng cụ 17-&gt;75'!F37</f>
        <v>696269.92307692301</v>
      </c>
      <c r="L28" s="1387">
        <f>(K28/8000)*L2</f>
        <v>696269.92307692301</v>
      </c>
      <c r="M28" s="1387">
        <f>SUM(L26:L28)</f>
        <v>11555645.886276927</v>
      </c>
    </row>
    <row r="29" spans="1:15" s="232" customFormat="1">
      <c r="A29" s="1358"/>
      <c r="B29" s="1358"/>
      <c r="C29" s="1358"/>
      <c r="D29" s="1358"/>
      <c r="E29" s="1382"/>
      <c r="F29" s="1382"/>
      <c r="G29" s="1382"/>
      <c r="H29" s="1363"/>
      <c r="I29" s="1398" t="s">
        <v>35</v>
      </c>
      <c r="J29" s="1383"/>
      <c r="K29" s="1401">
        <f>SUM(K25:K28)</f>
        <v>48727764.12114872</v>
      </c>
      <c r="L29" s="1402">
        <f>SUM(L25:L28)+L24</f>
        <v>136100705.69422564</v>
      </c>
      <c r="M29" s="1400">
        <f>(M28/L29)</f>
        <v>8.490511366075304E-2</v>
      </c>
    </row>
    <row r="30" spans="1:15" s="232" customFormat="1">
      <c r="A30" s="1358"/>
      <c r="B30" s="1358"/>
      <c r="C30" s="1358"/>
      <c r="D30" s="1358"/>
      <c r="E30" s="1382">
        <f>L_CBan!K38</f>
        <v>213471.15384615384</v>
      </c>
      <c r="F30" s="1382"/>
      <c r="G30" s="1382"/>
      <c r="H30" s="1363"/>
      <c r="I30" s="1398"/>
      <c r="J30" s="1383"/>
      <c r="K30" s="1386"/>
      <c r="L30" s="1358"/>
      <c r="M30" s="1358"/>
    </row>
    <row r="31" spans="1:15" s="232" customFormat="1">
      <c r="A31" s="1358"/>
      <c r="B31" s="1358"/>
      <c r="C31" s="1358"/>
      <c r="D31" s="1358"/>
      <c r="E31" s="1382">
        <f>E27*E30</f>
        <v>7578.225961538461</v>
      </c>
      <c r="F31" s="1382"/>
      <c r="G31" s="1382"/>
      <c r="H31" s="1363"/>
      <c r="I31" s="1398"/>
      <c r="J31" s="1383" t="s">
        <v>952</v>
      </c>
      <c r="K31" s="1401">
        <f>K3*50%+K20</f>
        <v>8970696.2923076916</v>
      </c>
      <c r="L31" s="1400">
        <f>K31/L29</f>
        <v>6.5912195286201902E-2</v>
      </c>
      <c r="M31" s="1358"/>
    </row>
    <row r="32" spans="1:15" s="232" customFormat="1">
      <c r="E32" s="834"/>
      <c r="F32" s="1262"/>
      <c r="G32" s="834"/>
      <c r="H32" s="835"/>
      <c r="I32" s="836"/>
      <c r="J32" s="300"/>
    </row>
    <row r="33" spans="9:9">
      <c r="I33" s="836">
        <f>(K20/K25)*100%</f>
        <v>0.21714477240293306</v>
      </c>
    </row>
  </sheetData>
  <mergeCells count="3">
    <mergeCell ref="J4:J5"/>
    <mergeCell ref="F4:F5"/>
    <mergeCell ref="F8:F9"/>
  </mergeCells>
  <pageMargins left="0" right="0" top="0" bottom="0" header="0.3" footer="0"/>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E16"/>
  <sheetViews>
    <sheetView workbookViewId="0">
      <selection activeCell="E21" sqref="E21"/>
    </sheetView>
  </sheetViews>
  <sheetFormatPr defaultColWidth="9" defaultRowHeight="15.75"/>
  <cols>
    <col min="1" max="1" width="8.25" style="3" customWidth="1"/>
    <col min="2" max="2" width="21.375" style="4" customWidth="1"/>
    <col min="3" max="3" width="6.375" style="3" customWidth="1"/>
    <col min="4" max="4" width="11.125" style="3" customWidth="1"/>
    <col min="5" max="5" width="18.25" style="25" customWidth="1"/>
    <col min="6" max="16384" width="9" style="4"/>
  </cols>
  <sheetData>
    <row r="1" spans="1:5">
      <c r="A1" s="1857" t="s">
        <v>1119</v>
      </c>
      <c r="B1" s="1857"/>
      <c r="C1" s="1857"/>
      <c r="D1" s="1857"/>
      <c r="E1" s="1857"/>
    </row>
    <row r="2" spans="1:5">
      <c r="E2" s="47" t="s">
        <v>1132</v>
      </c>
    </row>
    <row r="3" spans="1:5" s="6" customFormat="1">
      <c r="A3" s="1594" t="s">
        <v>14</v>
      </c>
      <c r="B3" s="1594" t="s">
        <v>3</v>
      </c>
      <c r="C3" s="1594" t="s">
        <v>20</v>
      </c>
      <c r="D3" s="1594" t="s">
        <v>18</v>
      </c>
      <c r="E3" s="373" t="s">
        <v>6</v>
      </c>
    </row>
    <row r="4" spans="1:5" s="5" customFormat="1">
      <c r="A4" s="8">
        <v>1</v>
      </c>
      <c r="B4" s="7" t="s">
        <v>77</v>
      </c>
      <c r="C4" s="8" t="s">
        <v>94</v>
      </c>
      <c r="D4" s="1659">
        <v>45000</v>
      </c>
      <c r="E4" s="497" t="s">
        <v>108</v>
      </c>
    </row>
    <row r="5" spans="1:5" s="5" customFormat="1">
      <c r="A5" s="8">
        <v>2</v>
      </c>
      <c r="B5" s="7" t="s">
        <v>78</v>
      </c>
      <c r="C5" s="8" t="s">
        <v>95</v>
      </c>
      <c r="D5" s="1659">
        <v>1450000</v>
      </c>
      <c r="E5" s="497"/>
    </row>
    <row r="6" spans="1:5" s="5" customFormat="1">
      <c r="A6" s="8">
        <v>3</v>
      </c>
      <c r="B6" s="7" t="s">
        <v>79</v>
      </c>
      <c r="C6" s="8" t="s">
        <v>95</v>
      </c>
      <c r="D6" s="1659">
        <v>250000</v>
      </c>
      <c r="E6" s="497"/>
    </row>
    <row r="7" spans="1:5" s="5" customFormat="1">
      <c r="A7" s="8">
        <v>4</v>
      </c>
      <c r="B7" s="7" t="s">
        <v>80</v>
      </c>
      <c r="C7" s="8" t="s">
        <v>81</v>
      </c>
      <c r="D7" s="1659">
        <v>10000</v>
      </c>
      <c r="E7" s="497"/>
    </row>
    <row r="8" spans="1:5" s="5" customFormat="1">
      <c r="A8" s="8">
        <v>5</v>
      </c>
      <c r="B8" s="7" t="s">
        <v>21</v>
      </c>
      <c r="C8" s="8" t="s">
        <v>26</v>
      </c>
      <c r="D8" s="1659">
        <v>2000</v>
      </c>
      <c r="E8" s="497"/>
    </row>
    <row r="9" spans="1:5" s="5" customFormat="1">
      <c r="A9" s="8">
        <v>6</v>
      </c>
      <c r="B9" s="7" t="s">
        <v>82</v>
      </c>
      <c r="C9" s="8" t="s">
        <v>26</v>
      </c>
      <c r="D9" s="1659">
        <v>8000</v>
      </c>
      <c r="E9" s="497"/>
    </row>
    <row r="10" spans="1:5" s="5" customFormat="1">
      <c r="A10" s="8">
        <v>7</v>
      </c>
      <c r="B10" s="7" t="s">
        <v>83</v>
      </c>
      <c r="C10" s="8" t="s">
        <v>26</v>
      </c>
      <c r="D10" s="1659">
        <v>10000</v>
      </c>
      <c r="E10" s="497"/>
    </row>
    <row r="11" spans="1:5" s="5" customFormat="1">
      <c r="A11" s="8">
        <v>8</v>
      </c>
      <c r="B11" s="7" t="s">
        <v>84</v>
      </c>
      <c r="C11" s="8" t="s">
        <v>95</v>
      </c>
      <c r="D11" s="1659">
        <v>2500</v>
      </c>
      <c r="E11" s="497"/>
    </row>
    <row r="12" spans="1:5" s="5" customFormat="1">
      <c r="A12" s="8">
        <v>9</v>
      </c>
      <c r="B12" s="7" t="s">
        <v>85</v>
      </c>
      <c r="C12" s="8" t="s">
        <v>95</v>
      </c>
      <c r="D12" s="1659">
        <v>2000</v>
      </c>
      <c r="E12" s="497"/>
    </row>
    <row r="13" spans="1:5" s="5" customFormat="1">
      <c r="A13" s="8">
        <v>10</v>
      </c>
      <c r="B13" s="7" t="s">
        <v>86</v>
      </c>
      <c r="C13" s="8" t="s">
        <v>96</v>
      </c>
      <c r="D13" s="1659">
        <v>8000</v>
      </c>
      <c r="E13" s="497"/>
    </row>
    <row r="14" spans="1:5" s="5" customFormat="1">
      <c r="A14" s="8">
        <v>11</v>
      </c>
      <c r="B14" s="7" t="s">
        <v>87</v>
      </c>
      <c r="C14" s="8" t="s">
        <v>26</v>
      </c>
      <c r="D14" s="1659">
        <v>15000</v>
      </c>
      <c r="E14" s="497"/>
    </row>
    <row r="15" spans="1:5" s="5" customFormat="1">
      <c r="A15" s="8">
        <v>12</v>
      </c>
      <c r="B15" s="1516" t="s">
        <v>50</v>
      </c>
      <c r="C15" s="208" t="s">
        <v>26</v>
      </c>
      <c r="D15" s="1671">
        <v>20000</v>
      </c>
      <c r="E15" s="1672"/>
    </row>
    <row r="16" spans="1:5" s="5" customFormat="1">
      <c r="A16" s="59"/>
      <c r="B16" s="58"/>
      <c r="C16" s="140"/>
      <c r="D16" s="1673">
        <v>1</v>
      </c>
      <c r="E16" s="1670"/>
    </row>
  </sheetData>
  <mergeCells count="1">
    <mergeCell ref="A1:E1"/>
  </mergeCells>
  <phoneticPr fontId="90" type="noConversion"/>
  <printOptions horizontalCentered="1"/>
  <pageMargins left="0.5" right="0.25" top="0.75" bottom="0.5" header="0.5" footer="0.5"/>
  <pageSetup paperSize="9" orientation="portrait" verticalDpi="12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I23"/>
  <sheetViews>
    <sheetView zoomScale="85" zoomScaleNormal="85" workbookViewId="0">
      <selection activeCell="E13" sqref="E13"/>
    </sheetView>
  </sheetViews>
  <sheetFormatPr defaultRowHeight="15"/>
  <cols>
    <col min="1" max="1" width="4" bestFit="1" customWidth="1"/>
    <col min="2" max="2" width="54.375" customWidth="1"/>
    <col min="4" max="4" width="13.125" customWidth="1"/>
    <col min="5" max="6" width="8.875" customWidth="1"/>
    <col min="7" max="7" width="11.25" customWidth="1"/>
  </cols>
  <sheetData>
    <row r="2" spans="1:9" ht="16.5">
      <c r="A2" s="2001" t="s">
        <v>238</v>
      </c>
      <c r="B2" s="1901"/>
      <c r="C2" s="1901"/>
      <c r="D2" s="1901"/>
      <c r="E2" s="1901"/>
      <c r="F2" s="1901"/>
      <c r="G2" s="1901"/>
    </row>
    <row r="3" spans="1:9" ht="18.75">
      <c r="A3" s="404"/>
      <c r="B3" s="394" t="s">
        <v>245</v>
      </c>
      <c r="C3" s="394" t="e">
        <f>'Nhân công'!#REF!</f>
        <v>#REF!</v>
      </c>
      <c r="D3" s="394"/>
      <c r="E3" s="394"/>
      <c r="F3" s="394"/>
      <c r="G3" s="394"/>
    </row>
    <row r="4" spans="1:9" ht="18.75">
      <c r="A4" s="404"/>
      <c r="B4" s="394" t="s">
        <v>239</v>
      </c>
      <c r="C4" s="1229">
        <f>'Nhân công'!E27</f>
        <v>0.1095</v>
      </c>
      <c r="D4" s="394"/>
      <c r="E4" s="394"/>
      <c r="F4" s="394"/>
      <c r="G4" s="394"/>
    </row>
    <row r="5" spans="1:9" ht="18.75">
      <c r="A5" s="404"/>
      <c r="B5" s="394" t="s">
        <v>240</v>
      </c>
      <c r="C5" s="394">
        <f>'He so nhap'!D6</f>
        <v>46</v>
      </c>
      <c r="D5" s="394"/>
      <c r="E5" s="394"/>
      <c r="F5" s="394"/>
      <c r="G5" s="394"/>
    </row>
    <row r="6" spans="1:9" ht="18.75">
      <c r="A6" s="404"/>
      <c r="B6" s="394" t="s">
        <v>242</v>
      </c>
      <c r="C6" s="394">
        <v>1.3</v>
      </c>
      <c r="D6" s="394"/>
      <c r="E6" s="394"/>
      <c r="F6" s="394"/>
      <c r="G6" s="394"/>
    </row>
    <row r="8" spans="1:9">
      <c r="A8" s="2000" t="s">
        <v>14</v>
      </c>
      <c r="B8" s="2000" t="s">
        <v>109</v>
      </c>
      <c r="C8" s="2000" t="s">
        <v>20</v>
      </c>
      <c r="D8" s="2000" t="s">
        <v>7</v>
      </c>
      <c r="E8" s="2002" t="s">
        <v>241</v>
      </c>
      <c r="F8" s="2002" t="s">
        <v>244</v>
      </c>
      <c r="G8" s="2002" t="s">
        <v>841</v>
      </c>
    </row>
    <row r="9" spans="1:9">
      <c r="A9" s="2000"/>
      <c r="B9" s="2000"/>
      <c r="C9" s="2000"/>
      <c r="D9" s="2000"/>
      <c r="E9" s="2003"/>
      <c r="F9" s="2003"/>
      <c r="G9" s="2004"/>
    </row>
    <row r="10" spans="1:9" ht="31.5">
      <c r="A10" s="389">
        <v>1</v>
      </c>
      <c r="B10" s="405" t="s">
        <v>225</v>
      </c>
      <c r="C10" s="386" t="s">
        <v>1</v>
      </c>
      <c r="D10" s="386" t="s">
        <v>839</v>
      </c>
      <c r="E10" s="388"/>
      <c r="F10" s="388">
        <v>1.3</v>
      </c>
      <c r="G10" s="388" t="e">
        <f>C3*F10</f>
        <v>#REF!</v>
      </c>
    </row>
    <row r="11" spans="1:9" ht="31.5">
      <c r="A11" s="389">
        <v>2</v>
      </c>
      <c r="B11" s="405" t="s">
        <v>226</v>
      </c>
      <c r="C11" s="390"/>
      <c r="D11" s="390"/>
      <c r="E11" s="406"/>
      <c r="F11" s="406"/>
      <c r="G11" s="406"/>
    </row>
    <row r="12" spans="1:9" ht="31.5">
      <c r="A12" s="367" t="s">
        <v>119</v>
      </c>
      <c r="B12" s="387" t="s">
        <v>227</v>
      </c>
      <c r="C12" s="386" t="s">
        <v>1</v>
      </c>
      <c r="D12" s="386" t="s">
        <v>839</v>
      </c>
      <c r="E12" s="388">
        <v>46</v>
      </c>
      <c r="F12" s="407">
        <f>E12/$C$5</f>
        <v>1</v>
      </c>
      <c r="G12" s="408">
        <f>$C$4*$C$6*F12</f>
        <v>0.14235</v>
      </c>
    </row>
    <row r="13" spans="1:9" ht="31.5">
      <c r="A13" s="367" t="s">
        <v>158</v>
      </c>
      <c r="B13" s="387" t="s">
        <v>228</v>
      </c>
      <c r="C13" s="386" t="s">
        <v>1</v>
      </c>
      <c r="D13" s="386" t="s">
        <v>839</v>
      </c>
      <c r="E13" s="388">
        <f>'He so nhap'!Q5</f>
        <v>3</v>
      </c>
      <c r="F13" s="407">
        <f t="shared" ref="F13:F18" si="0">E13/$C$5</f>
        <v>6.5217391304347824E-2</v>
      </c>
      <c r="G13" s="408">
        <f t="shared" ref="G13:G18" si="1">$C$4*$C$6*F13</f>
        <v>9.2836956521739136E-3</v>
      </c>
      <c r="I13" s="4">
        <v>1.1900000000000001E-2</v>
      </c>
    </row>
    <row r="14" spans="1:9" ht="31.5">
      <c r="A14" s="367" t="s">
        <v>159</v>
      </c>
      <c r="B14" s="387" t="s">
        <v>229</v>
      </c>
      <c r="C14" s="386" t="s">
        <v>1</v>
      </c>
      <c r="D14" s="386" t="s">
        <v>839</v>
      </c>
      <c r="E14" s="388">
        <f>'He so nhap'!G5+'He so nhap'!H5+'He so nhap'!O5+'He so nhap'!P5</f>
        <v>37</v>
      </c>
      <c r="F14" s="407">
        <f t="shared" si="0"/>
        <v>0.80434782608695654</v>
      </c>
      <c r="G14" s="408">
        <f t="shared" si="1"/>
        <v>0.11449891304347827</v>
      </c>
    </row>
    <row r="15" spans="1:9" ht="31.5">
      <c r="A15" s="367" t="s">
        <v>230</v>
      </c>
      <c r="B15" s="387" t="s">
        <v>231</v>
      </c>
      <c r="C15" s="386" t="s">
        <v>1</v>
      </c>
      <c r="D15" s="386" t="s">
        <v>839</v>
      </c>
      <c r="E15" s="388">
        <f>E14+'He so nhap'!Q5</f>
        <v>40</v>
      </c>
      <c r="F15" s="407">
        <f t="shared" si="0"/>
        <v>0.86956521739130432</v>
      </c>
      <c r="G15" s="408">
        <f t="shared" si="1"/>
        <v>0.12378260869565218</v>
      </c>
      <c r="I15" s="4">
        <v>0.15809999999999999</v>
      </c>
    </row>
    <row r="16" spans="1:9" ht="31.5">
      <c r="A16" s="367" t="s">
        <v>232</v>
      </c>
      <c r="B16" s="387" t="str">
        <f>'DK thuong xuyen'!B10</f>
        <v>Chỉnh lý hình thể thửa đất vào dữ liệu không gian địa chính của CSDL</v>
      </c>
      <c r="C16" s="386" t="s">
        <v>1</v>
      </c>
      <c r="D16" s="386" t="s">
        <v>839</v>
      </c>
      <c r="E16" s="388">
        <f>'He so nhap'!G5+'He so nhap'!H5+'He so nhap'!O5+'He so nhap'!P5</f>
        <v>37</v>
      </c>
      <c r="F16" s="407">
        <f t="shared" si="0"/>
        <v>0.80434782608695654</v>
      </c>
      <c r="G16" s="408">
        <f t="shared" si="1"/>
        <v>0.11449891304347827</v>
      </c>
    </row>
    <row r="17" spans="1:9" ht="31.5">
      <c r="A17" s="367" t="s">
        <v>233</v>
      </c>
      <c r="B17" s="387" t="s">
        <v>234</v>
      </c>
      <c r="C17" s="386" t="s">
        <v>1</v>
      </c>
      <c r="D17" s="386" t="s">
        <v>839</v>
      </c>
      <c r="E17" s="388">
        <f>'He so nhap'!O5+'He so nhap'!P5</f>
        <v>17</v>
      </c>
      <c r="F17" s="407">
        <f t="shared" si="0"/>
        <v>0.36956521739130432</v>
      </c>
      <c r="G17" s="408">
        <f t="shared" si="1"/>
        <v>5.2607608695652175E-2</v>
      </c>
    </row>
    <row r="18" spans="1:9" ht="31.5">
      <c r="A18" s="367" t="s">
        <v>235</v>
      </c>
      <c r="B18" s="387" t="s">
        <v>236</v>
      </c>
      <c r="C18" s="386" t="s">
        <v>1</v>
      </c>
      <c r="D18" s="386" t="s">
        <v>839</v>
      </c>
      <c r="E18" s="388">
        <v>25</v>
      </c>
      <c r="F18" s="407">
        <f t="shared" si="0"/>
        <v>0.54347826086956519</v>
      </c>
      <c r="G18" s="408">
        <f t="shared" si="1"/>
        <v>7.7364130434782602E-2</v>
      </c>
      <c r="I18" t="s">
        <v>243</v>
      </c>
    </row>
    <row r="19" spans="1:9" ht="47.25">
      <c r="A19" s="389">
        <v>3</v>
      </c>
      <c r="B19" s="405" t="s">
        <v>237</v>
      </c>
      <c r="C19" s="390"/>
      <c r="D19" s="390"/>
      <c r="E19" s="406"/>
      <c r="F19" s="406"/>
      <c r="G19" s="406"/>
    </row>
    <row r="20" spans="1:9" ht="15.75">
      <c r="A20" s="367" t="s">
        <v>120</v>
      </c>
      <c r="B20" s="387" t="e">
        <f>'Nhân công'!#REF!</f>
        <v>#REF!</v>
      </c>
      <c r="C20" s="398" t="e">
        <f>'Nhân công'!#REF!</f>
        <v>#REF!</v>
      </c>
      <c r="D20" s="386" t="e">
        <f>'Nhân công'!#REF!</f>
        <v>#REF!</v>
      </c>
      <c r="E20" s="388" t="e">
        <f>'Nhân công'!#REF!</f>
        <v>#REF!</v>
      </c>
      <c r="F20" s="388">
        <f>C6</f>
        <v>1.3</v>
      </c>
      <c r="G20" s="388" t="e">
        <f>E20*F20</f>
        <v>#REF!</v>
      </c>
    </row>
    <row r="21" spans="1:9" ht="24" customHeight="1">
      <c r="A21" s="367" t="s">
        <v>155</v>
      </c>
      <c r="B21" s="387" t="e">
        <f>'Nhân công'!#REF!</f>
        <v>#REF!</v>
      </c>
      <c r="C21" s="398" t="e">
        <f>'Nhân công'!#REF!</f>
        <v>#REF!</v>
      </c>
      <c r="D21" s="386" t="e">
        <f>'Nhân công'!#REF!</f>
        <v>#REF!</v>
      </c>
      <c r="E21" s="388" t="e">
        <f>'Nhân công'!#REF!</f>
        <v>#REF!</v>
      </c>
      <c r="F21" s="388">
        <f>F20</f>
        <v>1.3</v>
      </c>
      <c r="G21" s="388" t="e">
        <f t="shared" ref="G21:G23" si="2">E21*F21</f>
        <v>#REF!</v>
      </c>
    </row>
    <row r="22" spans="1:9" ht="54.75" customHeight="1">
      <c r="A22" s="367" t="s">
        <v>139</v>
      </c>
      <c r="B22" s="387" t="e">
        <f>'Nhân công'!#REF!</f>
        <v>#REF!</v>
      </c>
      <c r="C22" s="398" t="e">
        <f>'Nhân công'!#REF!</f>
        <v>#REF!</v>
      </c>
      <c r="D22" s="386" t="e">
        <f>'Nhân công'!#REF!</f>
        <v>#REF!</v>
      </c>
      <c r="E22" s="388" t="e">
        <f>'Nhân công'!#REF!</f>
        <v>#REF!</v>
      </c>
      <c r="F22" s="388">
        <f>F20</f>
        <v>1.3</v>
      </c>
      <c r="G22" s="388" t="e">
        <f t="shared" si="2"/>
        <v>#REF!</v>
      </c>
    </row>
    <row r="23" spans="1:9" ht="15.75">
      <c r="A23" s="367" t="s">
        <v>140</v>
      </c>
      <c r="B23" s="387" t="e">
        <f>'Nhân công'!#REF!</f>
        <v>#REF!</v>
      </c>
      <c r="C23" s="398" t="e">
        <f>'Nhân công'!#REF!</f>
        <v>#REF!</v>
      </c>
      <c r="D23" s="386" t="e">
        <f>'Nhân công'!#REF!</f>
        <v>#REF!</v>
      </c>
      <c r="E23" s="388" t="e">
        <f>'Nhân công'!#REF!</f>
        <v>#REF!</v>
      </c>
      <c r="F23" s="388">
        <f>F20</f>
        <v>1.3</v>
      </c>
      <c r="G23" s="388" t="e">
        <f t="shared" si="2"/>
        <v>#REF!</v>
      </c>
    </row>
  </sheetData>
  <mergeCells count="8">
    <mergeCell ref="A8:A9"/>
    <mergeCell ref="B8:B9"/>
    <mergeCell ref="C8:C9"/>
    <mergeCell ref="D8:D9"/>
    <mergeCell ref="A2:G2"/>
    <mergeCell ref="E8:E9"/>
    <mergeCell ref="F8:F9"/>
    <mergeCell ref="G8:G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30"/>
  <sheetViews>
    <sheetView topLeftCell="A6" zoomScale="110" zoomScaleNormal="110" workbookViewId="0">
      <selection activeCell="A15" sqref="A15:D29"/>
    </sheetView>
  </sheetViews>
  <sheetFormatPr defaultColWidth="9" defaultRowHeight="15"/>
  <cols>
    <col min="1" max="1" width="7.875" style="242" customWidth="1"/>
    <col min="2" max="2" width="44.375" style="12" customWidth="1"/>
    <col min="3" max="3" width="7.375" style="242" hidden="1" customWidth="1"/>
    <col min="4" max="4" width="12.75" style="12" customWidth="1"/>
    <col min="5" max="5" width="13.625" style="12" bestFit="1" customWidth="1"/>
    <col min="6" max="6" width="12.375" style="243" bestFit="1" customWidth="1"/>
    <col min="7" max="7" width="9" style="69" hidden="1" customWidth="1"/>
    <col min="8" max="8" width="14.25" style="244" hidden="1" customWidth="1"/>
    <col min="9" max="10" width="9" style="12" hidden="1" customWidth="1"/>
    <col min="11" max="11" width="10.25" style="12" bestFit="1" customWidth="1"/>
    <col min="12" max="12" width="18.25" style="12" bestFit="1" customWidth="1"/>
    <col min="13" max="16384" width="9" style="12"/>
  </cols>
  <sheetData>
    <row r="1" spans="1:13" ht="15.75">
      <c r="A1" s="1856" t="s">
        <v>88</v>
      </c>
      <c r="B1" s="1856"/>
      <c r="C1" s="1856"/>
      <c r="D1" s="1856"/>
      <c r="E1" s="1856"/>
      <c r="F1" s="1856"/>
      <c r="G1" s="1856"/>
      <c r="H1" s="1856"/>
    </row>
    <row r="2" spans="1:13" ht="16.5" thickBot="1">
      <c r="A2" s="30"/>
      <c r="B2" s="5"/>
      <c r="C2" s="30"/>
      <c r="D2" s="5"/>
      <c r="E2" s="5"/>
      <c r="F2" s="239"/>
      <c r="G2" s="240" t="s">
        <v>70</v>
      </c>
      <c r="H2" s="32" t="s">
        <v>69</v>
      </c>
    </row>
    <row r="3" spans="1:13" s="13" customFormat="1" ht="31.5">
      <c r="A3" s="1873" t="s">
        <v>14</v>
      </c>
      <c r="B3" s="1873" t="s">
        <v>3</v>
      </c>
      <c r="C3" s="1873" t="s">
        <v>20</v>
      </c>
      <c r="D3" s="358" t="s">
        <v>18</v>
      </c>
      <c r="E3" s="359" t="s">
        <v>17</v>
      </c>
      <c r="F3" s="360" t="s">
        <v>19</v>
      </c>
      <c r="G3" s="353" t="s">
        <v>68</v>
      </c>
      <c r="H3" s="320" t="s">
        <v>72</v>
      </c>
      <c r="L3" s="13">
        <v>10000</v>
      </c>
    </row>
    <row r="4" spans="1:13" s="13" customFormat="1" ht="15.75">
      <c r="A4" s="1873"/>
      <c r="B4" s="1873"/>
      <c r="C4" s="1873"/>
      <c r="D4" s="819" t="s">
        <v>101</v>
      </c>
      <c r="E4" s="819"/>
      <c r="F4" s="360" t="s">
        <v>163</v>
      </c>
      <c r="G4" s="354">
        <v>8</v>
      </c>
      <c r="H4" s="321"/>
    </row>
    <row r="5" spans="1:13" s="41" customFormat="1" ht="15.75">
      <c r="A5" s="361">
        <v>1</v>
      </c>
      <c r="B5" s="362"/>
      <c r="C5" s="80"/>
      <c r="D5" s="363"/>
      <c r="E5" s="364"/>
      <c r="F5" s="365">
        <f>SUM(F6:F13)</f>
        <v>593.125</v>
      </c>
      <c r="G5" s="355"/>
      <c r="H5" s="322">
        <f>SUM(H6:H12)*105%</f>
        <v>2085.5625</v>
      </c>
      <c r="J5" s="12">
        <v>2</v>
      </c>
      <c r="L5" s="348">
        <f>F5*8000</f>
        <v>4745000</v>
      </c>
      <c r="M5" s="348">
        <f>L5/L3</f>
        <v>474.5</v>
      </c>
    </row>
    <row r="6" spans="1:13" ht="15.75">
      <c r="A6" s="316">
        <v>1</v>
      </c>
      <c r="B6" s="366" t="s">
        <v>77</v>
      </c>
      <c r="C6" s="367" t="s">
        <v>171</v>
      </c>
      <c r="D6" s="368">
        <v>40000</v>
      </c>
      <c r="E6" s="369">
        <f t="shared" ref="E6:E13" si="0">L6/8000</f>
        <v>1.8749999999999999E-3</v>
      </c>
      <c r="F6" s="370">
        <f t="shared" ref="F6:F13" si="1">D6*E6</f>
        <v>75</v>
      </c>
      <c r="G6" s="356">
        <v>4</v>
      </c>
      <c r="H6" s="33">
        <f>$F6*G6</f>
        <v>300</v>
      </c>
      <c r="J6" s="12">
        <v>3</v>
      </c>
      <c r="L6" s="241">
        <v>15</v>
      </c>
    </row>
    <row r="7" spans="1:13" ht="15.75">
      <c r="A7" s="316">
        <v>2</v>
      </c>
      <c r="B7" s="366" t="s">
        <v>78</v>
      </c>
      <c r="C7" s="367" t="s">
        <v>172</v>
      </c>
      <c r="D7" s="368">
        <v>550000</v>
      </c>
      <c r="E7" s="369">
        <f t="shared" si="0"/>
        <v>5.0000000000000001E-4</v>
      </c>
      <c r="F7" s="370">
        <f t="shared" si="1"/>
        <v>275</v>
      </c>
      <c r="G7" s="356">
        <v>4</v>
      </c>
      <c r="H7" s="33">
        <f t="shared" ref="H7:H12" si="2">$F7*G7</f>
        <v>1100</v>
      </c>
      <c r="J7" s="12">
        <v>4</v>
      </c>
      <c r="L7" s="241">
        <v>4</v>
      </c>
    </row>
    <row r="8" spans="1:13" ht="15.75">
      <c r="A8" s="316">
        <v>3</v>
      </c>
      <c r="B8" s="366" t="s">
        <v>80</v>
      </c>
      <c r="C8" s="367" t="s">
        <v>173</v>
      </c>
      <c r="D8" s="368">
        <v>30000</v>
      </c>
      <c r="E8" s="369">
        <f t="shared" si="0"/>
        <v>1.8749999999999999E-3</v>
      </c>
      <c r="F8" s="370">
        <f t="shared" si="1"/>
        <v>56.25</v>
      </c>
      <c r="G8" s="356">
        <v>1</v>
      </c>
      <c r="H8" s="33">
        <f t="shared" si="2"/>
        <v>56.25</v>
      </c>
      <c r="J8" s="12">
        <v>6</v>
      </c>
      <c r="L8" s="241">
        <v>15</v>
      </c>
    </row>
    <row r="9" spans="1:13" ht="15.75">
      <c r="A9" s="316">
        <v>4</v>
      </c>
      <c r="B9" s="366" t="s">
        <v>21</v>
      </c>
      <c r="C9" s="367" t="s">
        <v>130</v>
      </c>
      <c r="D9" s="368">
        <v>1500</v>
      </c>
      <c r="E9" s="369">
        <f t="shared" si="0"/>
        <v>6.2500000000000003E-3</v>
      </c>
      <c r="F9" s="370">
        <f t="shared" si="1"/>
        <v>9.375</v>
      </c>
      <c r="G9" s="356">
        <v>4</v>
      </c>
      <c r="H9" s="33">
        <f t="shared" si="2"/>
        <v>37.5</v>
      </c>
      <c r="J9" s="12">
        <v>7</v>
      </c>
      <c r="L9" s="241">
        <v>50</v>
      </c>
    </row>
    <row r="10" spans="1:13" ht="15.75">
      <c r="A10" s="316">
        <v>5</v>
      </c>
      <c r="B10" s="366" t="s">
        <v>83</v>
      </c>
      <c r="C10" s="367" t="s">
        <v>130</v>
      </c>
      <c r="D10" s="368">
        <v>15000</v>
      </c>
      <c r="E10" s="369">
        <f t="shared" si="0"/>
        <v>1.8749999999999999E-3</v>
      </c>
      <c r="F10" s="370">
        <f t="shared" si="1"/>
        <v>28.125</v>
      </c>
      <c r="G10" s="356">
        <v>4</v>
      </c>
      <c r="H10" s="33">
        <f t="shared" si="2"/>
        <v>112.5</v>
      </c>
      <c r="J10" s="12">
        <v>9</v>
      </c>
      <c r="L10" s="241">
        <v>15</v>
      </c>
    </row>
    <row r="11" spans="1:13" ht="15.75">
      <c r="A11" s="316">
        <v>6</v>
      </c>
      <c r="B11" s="366" t="s">
        <v>84</v>
      </c>
      <c r="C11" s="367" t="s">
        <v>172</v>
      </c>
      <c r="D11" s="368">
        <v>20000</v>
      </c>
      <c r="E11" s="369">
        <f t="shared" si="0"/>
        <v>2.5000000000000001E-3</v>
      </c>
      <c r="F11" s="370">
        <f t="shared" si="1"/>
        <v>50</v>
      </c>
      <c r="G11" s="356">
        <v>4</v>
      </c>
      <c r="H11" s="33">
        <f t="shared" si="2"/>
        <v>200</v>
      </c>
      <c r="J11" s="12">
        <v>10</v>
      </c>
      <c r="L11" s="241">
        <v>20</v>
      </c>
    </row>
    <row r="12" spans="1:13" ht="15.75">
      <c r="A12" s="316">
        <v>7</v>
      </c>
      <c r="B12" s="366" t="s">
        <v>85</v>
      </c>
      <c r="C12" s="367" t="s">
        <v>172</v>
      </c>
      <c r="D12" s="368">
        <v>18000</v>
      </c>
      <c r="E12" s="369">
        <f t="shared" si="0"/>
        <v>2.5000000000000001E-3</v>
      </c>
      <c r="F12" s="370">
        <f t="shared" si="1"/>
        <v>45</v>
      </c>
      <c r="G12" s="356">
        <v>4</v>
      </c>
      <c r="H12" s="33">
        <f t="shared" si="2"/>
        <v>180</v>
      </c>
      <c r="J12" s="12">
        <v>11</v>
      </c>
      <c r="L12" s="241">
        <v>20</v>
      </c>
    </row>
    <row r="13" spans="1:13" ht="15.75">
      <c r="A13" s="316">
        <v>8</v>
      </c>
      <c r="B13" s="366" t="s">
        <v>87</v>
      </c>
      <c r="C13" s="367" t="s">
        <v>130</v>
      </c>
      <c r="D13" s="368">
        <v>14500</v>
      </c>
      <c r="E13" s="369">
        <f t="shared" si="0"/>
        <v>3.7499999999999999E-3</v>
      </c>
      <c r="F13" s="370">
        <f t="shared" si="1"/>
        <v>54.375</v>
      </c>
      <c r="G13" s="357">
        <f>(G10*0.1+G11*0.04)*G$4</f>
        <v>4.4800000000000004</v>
      </c>
      <c r="H13" s="143">
        <f>$F13*G13*D13</f>
        <v>3532200.0000000005</v>
      </c>
      <c r="J13" s="12">
        <v>13</v>
      </c>
      <c r="L13" s="241">
        <v>30</v>
      </c>
    </row>
    <row r="14" spans="1:13" ht="15.75" thickBot="1"/>
    <row r="15" spans="1:13" ht="31.5">
      <c r="A15" s="227" t="s">
        <v>14</v>
      </c>
      <c r="B15" s="227" t="s">
        <v>133</v>
      </c>
      <c r="C15" s="227" t="s">
        <v>110</v>
      </c>
      <c r="D15" s="228" t="s">
        <v>28</v>
      </c>
      <c r="E15" s="228" t="s">
        <v>19</v>
      </c>
    </row>
    <row r="16" spans="1:13" ht="31.5">
      <c r="A16" s="236">
        <f>'DK thuong xuyen'!A10</f>
        <v>1</v>
      </c>
      <c r="B16" s="391" t="str">
        <f>'DK thuong xuyen'!B10</f>
        <v>Chỉnh lý hình thể thửa đất vào dữ liệu không gian địa chính của CSDL</v>
      </c>
      <c r="C16" s="319" t="e">
        <f>'DK thuong xuyen'!G10</f>
        <v>#REF!</v>
      </c>
      <c r="D16" s="319" t="e">
        <f>C16/$C$30</f>
        <v>#REF!</v>
      </c>
      <c r="E16" s="414" t="e">
        <f>D16*$F$5</f>
        <v>#REF!</v>
      </c>
      <c r="F16" s="409"/>
      <c r="K16" s="439"/>
      <c r="L16" s="411"/>
    </row>
    <row r="17" spans="1:12" ht="31.5">
      <c r="A17" s="236">
        <f>'DK thuong xuyen'!A11</f>
        <v>2</v>
      </c>
      <c r="B17" s="391" t="str">
        <f>'DK thuong xuyen'!B11</f>
        <v>Cập nhật thông tin biến động về thuộc tính địa chính của thửa đất</v>
      </c>
      <c r="C17" s="319"/>
      <c r="D17" s="319"/>
      <c r="E17" s="414"/>
      <c r="F17" s="409"/>
      <c r="K17" s="439"/>
      <c r="L17" s="411"/>
    </row>
    <row r="18" spans="1:12" ht="15.75">
      <c r="A18" s="236" t="str">
        <f>'DK thuong xuyen'!A12</f>
        <v>2.1</v>
      </c>
      <c r="B18" s="391" t="str">
        <f>'DK thuong xuyen'!B12</f>
        <v>Đăng ký đất đai, tài sản gắn liền với đất lần đâu</v>
      </c>
      <c r="C18" s="319">
        <f>'DK thuong xuyen'!G12</f>
        <v>0.14235</v>
      </c>
      <c r="D18" s="319" t="e">
        <f t="shared" ref="D18:D24" si="3">C18/$C$30</f>
        <v>#REF!</v>
      </c>
      <c r="E18" s="414" t="e">
        <f t="shared" ref="E18:E29" si="4">D18*$F$5</f>
        <v>#REF!</v>
      </c>
      <c r="F18" s="409"/>
      <c r="K18" s="439"/>
      <c r="L18" s="411"/>
    </row>
    <row r="19" spans="1:12" ht="15.75">
      <c r="A19" s="236" t="str">
        <f>'DK thuong xuyen'!A13</f>
        <v>2.2</v>
      </c>
      <c r="B19" s="391" t="str">
        <f>'DK thuong xuyen'!B13</f>
        <v>Đăng ký thế chấp</v>
      </c>
      <c r="C19" s="319">
        <f>'DK thuong xuyen'!G13</f>
        <v>9.2836956521739136E-3</v>
      </c>
      <c r="D19" s="319" t="e">
        <f t="shared" si="3"/>
        <v>#REF!</v>
      </c>
      <c r="E19" s="414" t="e">
        <f t="shared" si="4"/>
        <v>#REF!</v>
      </c>
      <c r="F19" s="409"/>
      <c r="K19" s="439"/>
      <c r="L19" s="411"/>
    </row>
    <row r="20" spans="1:12" ht="15.75">
      <c r="A20" s="236" t="str">
        <f>'DK thuong xuyen'!A14</f>
        <v>2.3</v>
      </c>
      <c r="B20" s="391" t="str">
        <f>'DK thuong xuyen'!B14</f>
        <v>Chuyển quyền sử dụng toàn bộ thửa đất</v>
      </c>
      <c r="C20" s="319">
        <f>'DK thuong xuyen'!G14</f>
        <v>0.11449891304347827</v>
      </c>
      <c r="D20" s="319" t="e">
        <f t="shared" si="3"/>
        <v>#REF!</v>
      </c>
      <c r="E20" s="414" t="e">
        <f t="shared" si="4"/>
        <v>#REF!</v>
      </c>
      <c r="F20" s="409"/>
      <c r="K20" s="439"/>
      <c r="L20" s="411"/>
    </row>
    <row r="21" spans="1:12" ht="15.75">
      <c r="A21" s="236" t="str">
        <f>'DK thuong xuyen'!A15</f>
        <v>2.4</v>
      </c>
      <c r="B21" s="391" t="str">
        <f>'DK thuong xuyen'!B15</f>
        <v>Chuyển quyền sử dụng một phần thửa đất</v>
      </c>
      <c r="C21" s="319">
        <f>'DK thuong xuyen'!G15</f>
        <v>0.12378260869565218</v>
      </c>
      <c r="D21" s="319" t="e">
        <f t="shared" si="3"/>
        <v>#REF!</v>
      </c>
      <c r="E21" s="414" t="e">
        <f t="shared" si="4"/>
        <v>#REF!</v>
      </c>
      <c r="F21" s="409"/>
      <c r="L21" s="411"/>
    </row>
    <row r="22" spans="1:12" ht="31.5">
      <c r="A22" s="236" t="str">
        <f>'DK thuong xuyen'!A16</f>
        <v>2.5</v>
      </c>
      <c r="B22" s="391" t="str">
        <f>'DK thuong xuyen'!B16</f>
        <v>Chỉnh lý hình thể thửa đất vào dữ liệu không gian địa chính của CSDL</v>
      </c>
      <c r="C22" s="319">
        <f>'DK thuong xuyen'!G16</f>
        <v>0.11449891304347827</v>
      </c>
      <c r="D22" s="319" t="e">
        <f t="shared" si="3"/>
        <v>#REF!</v>
      </c>
      <c r="E22" s="414" t="e">
        <f t="shared" si="4"/>
        <v>#REF!</v>
      </c>
      <c r="F22" s="409"/>
      <c r="L22" s="411"/>
    </row>
    <row r="23" spans="1:12" ht="33" customHeight="1">
      <c r="A23" s="236" t="str">
        <f>'DK thuong xuyen'!A17</f>
        <v>2.6</v>
      </c>
      <c r="B23" s="391" t="str">
        <f>'DK thuong xuyen'!B17</f>
        <v>Cấp đổi, cấp lại GCN</v>
      </c>
      <c r="C23" s="319">
        <f>'DK thuong xuyen'!G17</f>
        <v>5.2607608695652175E-2</v>
      </c>
      <c r="D23" s="319" t="e">
        <f t="shared" si="3"/>
        <v>#REF!</v>
      </c>
      <c r="E23" s="414" t="e">
        <f t="shared" si="4"/>
        <v>#REF!</v>
      </c>
      <c r="F23" s="409"/>
      <c r="L23" s="411"/>
    </row>
    <row r="24" spans="1:12" ht="15.75">
      <c r="A24" s="236" t="str">
        <f>'DK thuong xuyen'!A18</f>
        <v>2.7</v>
      </c>
      <c r="B24" s="391" t="str">
        <f>'DK thuong xuyen'!B18</f>
        <v>Các thay đổi khác</v>
      </c>
      <c r="C24" s="319">
        <f>'DK thuong xuyen'!G18</f>
        <v>7.7364130434782602E-2</v>
      </c>
      <c r="D24" s="319" t="e">
        <f t="shared" si="3"/>
        <v>#REF!</v>
      </c>
      <c r="E24" s="414" t="e">
        <f t="shared" si="4"/>
        <v>#REF!</v>
      </c>
      <c r="F24" s="409"/>
      <c r="L24" s="411"/>
    </row>
    <row r="25" spans="1:12" ht="63">
      <c r="A25" s="412">
        <f>'DK thuong xuyen'!A19</f>
        <v>3</v>
      </c>
      <c r="B25" s="413" t="str">
        <f>'DK thuong xuyen'!B19</f>
        <v>Quét (chụp) giấy tờ pháp lý về quyền sử dụng đất và bản đồ, sơ đồ, bản trích đo địa chính đối với trường hợp đăng ký bổ sung lần đầu, đăng ký biến động (nếu có)</v>
      </c>
      <c r="C25" s="1154"/>
      <c r="D25" s="1154"/>
      <c r="E25" s="1231"/>
      <c r="F25" s="409"/>
      <c r="L25" s="411"/>
    </row>
    <row r="26" spans="1:12" ht="15.75">
      <c r="A26" s="236" t="str">
        <f>'DK thuong xuyen'!A20</f>
        <v>3.1</v>
      </c>
      <c r="B26" s="391" t="e">
        <f>'DK thuong xuyen'!B20</f>
        <v>#REF!</v>
      </c>
      <c r="C26" s="319" t="e">
        <f>'DK thuong xuyen'!G20</f>
        <v>#REF!</v>
      </c>
      <c r="D26" s="319" t="e">
        <f>C26*2/$C$30</f>
        <v>#REF!</v>
      </c>
      <c r="E26" s="414" t="e">
        <f t="shared" si="4"/>
        <v>#REF!</v>
      </c>
      <c r="F26" s="409"/>
      <c r="L26" s="411"/>
    </row>
    <row r="27" spans="1:12" ht="15.75">
      <c r="A27" s="236" t="str">
        <f>'DK thuong xuyen'!A21</f>
        <v>3.2</v>
      </c>
      <c r="B27" s="391" t="e">
        <f>'DK thuong xuyen'!B21</f>
        <v>#REF!</v>
      </c>
      <c r="C27" s="319" t="e">
        <f>'DK thuong xuyen'!G21</f>
        <v>#REF!</v>
      </c>
      <c r="D27" s="319" t="e">
        <f>C27*2/$C$30</f>
        <v>#REF!</v>
      </c>
      <c r="E27" s="414" t="e">
        <f t="shared" si="4"/>
        <v>#REF!</v>
      </c>
      <c r="F27" s="409"/>
      <c r="L27" s="411"/>
    </row>
    <row r="28" spans="1:12" ht="15.75">
      <c r="A28" s="236" t="str">
        <f>'DK thuong xuyen'!A22</f>
        <v>3.3</v>
      </c>
      <c r="B28" s="391" t="e">
        <f>'DK thuong xuyen'!B22</f>
        <v>#REF!</v>
      </c>
      <c r="C28" s="319" t="e">
        <f>'DK thuong xuyen'!G22</f>
        <v>#REF!</v>
      </c>
      <c r="D28" s="319" t="e">
        <f>C28*3/$C$30</f>
        <v>#REF!</v>
      </c>
      <c r="E28" s="414" t="e">
        <f t="shared" si="4"/>
        <v>#REF!</v>
      </c>
      <c r="F28" s="409"/>
      <c r="K28" s="439"/>
      <c r="L28" s="411"/>
    </row>
    <row r="29" spans="1:12" ht="15.75">
      <c r="A29" s="236" t="str">
        <f>'DK thuong xuyen'!A23</f>
        <v>3.4</v>
      </c>
      <c r="B29" s="391" t="e">
        <f>'DK thuong xuyen'!B23</f>
        <v>#REF!</v>
      </c>
      <c r="C29" s="319" t="e">
        <f>'DK thuong xuyen'!G23</f>
        <v>#REF!</v>
      </c>
      <c r="D29" s="319" t="e">
        <f>C29*3/$C$30</f>
        <v>#REF!</v>
      </c>
      <c r="E29" s="414" t="e">
        <f t="shared" si="4"/>
        <v>#REF!</v>
      </c>
      <c r="F29" s="409"/>
      <c r="L29" s="411"/>
    </row>
    <row r="30" spans="1:12" ht="15.75">
      <c r="A30" s="30"/>
      <c r="B30" s="5"/>
      <c r="C30" s="840" t="e">
        <f>C16+C18+C19+C20+C21+C22+C23+C24+C26*2+C27*2+C28*3+C29*3</f>
        <v>#REF!</v>
      </c>
      <c r="D30" s="843" t="e">
        <f>SUM(D16:D29)</f>
        <v>#REF!</v>
      </c>
      <c r="E30" s="842" t="e">
        <f>SUM(E16:E29)</f>
        <v>#REF!</v>
      </c>
    </row>
  </sheetData>
  <mergeCells count="4">
    <mergeCell ref="A1:H1"/>
    <mergeCell ref="A3:A4"/>
    <mergeCell ref="B3:B4"/>
    <mergeCell ref="C3:C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51"/>
  <sheetViews>
    <sheetView topLeftCell="A32" zoomScale="70" zoomScaleNormal="70" workbookViewId="0">
      <selection activeCell="A3" sqref="A3:H50"/>
    </sheetView>
  </sheetViews>
  <sheetFormatPr defaultColWidth="9" defaultRowHeight="15.75"/>
  <cols>
    <col min="1" max="1" width="7.875" style="883" customWidth="1"/>
    <col min="2" max="2" width="48.625" style="340" customWidth="1"/>
    <col min="3" max="3" width="5.75" style="884" bestFit="1" customWidth="1"/>
    <col min="4" max="4" width="8.625" style="340" customWidth="1"/>
    <col min="5" max="5" width="9.25" style="340" customWidth="1"/>
    <col min="6" max="6" width="14.375" style="885" hidden="1" customWidth="1"/>
    <col min="7" max="7" width="10.875" style="885" hidden="1" customWidth="1"/>
    <col min="8" max="8" width="9.875" style="886" bestFit="1" customWidth="1"/>
    <col min="9" max="9" width="14.25" style="341" customWidth="1"/>
    <col min="10" max="10" width="16.75" style="442" bestFit="1" customWidth="1"/>
    <col min="11" max="11" width="13.375" style="442" bestFit="1" customWidth="1"/>
    <col min="12" max="12" width="9" style="340"/>
    <col min="13" max="13" width="11.375" style="340" bestFit="1" customWidth="1"/>
    <col min="14" max="16384" width="9" style="340"/>
  </cols>
  <sheetData>
    <row r="1" spans="1:12">
      <c r="A1" s="2005" t="s">
        <v>22</v>
      </c>
      <c r="B1" s="2005"/>
      <c r="C1" s="2005"/>
      <c r="D1" s="2005"/>
      <c r="E1" s="2005"/>
      <c r="F1" s="2005"/>
      <c r="G1" s="2005"/>
      <c r="H1" s="2005"/>
      <c r="I1" s="2005"/>
    </row>
    <row r="2" spans="1:12" ht="16.5" thickBot="1">
      <c r="A2" s="851"/>
      <c r="B2" s="290"/>
      <c r="C2" s="852"/>
      <c r="D2" s="290"/>
      <c r="E2" s="290"/>
      <c r="F2" s="853"/>
      <c r="G2" s="854"/>
      <c r="H2" s="855" t="s">
        <v>70</v>
      </c>
      <c r="I2" s="856" t="s">
        <v>69</v>
      </c>
    </row>
    <row r="3" spans="1:12" s="857" customFormat="1" ht="47.25">
      <c r="A3" s="324" t="s">
        <v>14</v>
      </c>
      <c r="B3" s="252" t="s">
        <v>16</v>
      </c>
      <c r="C3" s="253" t="s">
        <v>20</v>
      </c>
      <c r="D3" s="253" t="s">
        <v>4</v>
      </c>
      <c r="E3" s="253" t="s">
        <v>5</v>
      </c>
      <c r="F3" s="254" t="s">
        <v>18</v>
      </c>
      <c r="G3" s="254" t="s">
        <v>0</v>
      </c>
      <c r="H3" s="255" t="s">
        <v>17</v>
      </c>
      <c r="I3" s="256" t="s">
        <v>72</v>
      </c>
      <c r="J3" s="256" t="s">
        <v>164</v>
      </c>
      <c r="K3" s="256" t="s">
        <v>165</v>
      </c>
      <c r="L3" s="857">
        <v>100</v>
      </c>
    </row>
    <row r="4" spans="1:12" s="864" customFormat="1" ht="19.5" customHeight="1">
      <c r="A4" s="858"/>
      <c r="B4" s="859" t="s">
        <v>728</v>
      </c>
      <c r="C4" s="269"/>
      <c r="D4" s="270"/>
      <c r="E4" s="860"/>
      <c r="F4" s="861"/>
      <c r="G4" s="861"/>
      <c r="H4" s="862"/>
      <c r="I4" s="443"/>
      <c r="J4" s="343">
        <f>I4</f>
        <v>0</v>
      </c>
      <c r="K4" s="343"/>
      <c r="L4" s="863"/>
    </row>
    <row r="5" spans="1:12" s="864" customFormat="1" ht="19.5" customHeight="1">
      <c r="A5" s="858">
        <f>'DK thuong xuyen'!A10</f>
        <v>1</v>
      </c>
      <c r="B5" s="859" t="str">
        <f>'DK thuong xuyen'!B10</f>
        <v>Chỉnh lý hình thể thửa đất vào dữ liệu không gian địa chính của CSDL</v>
      </c>
      <c r="C5" s="269"/>
      <c r="D5" s="270"/>
      <c r="E5" s="860"/>
      <c r="F5" s="861"/>
      <c r="G5" s="861"/>
      <c r="H5" s="862"/>
      <c r="I5" s="335" t="e">
        <f>SUM(I6:I7)</f>
        <v>#REF!</v>
      </c>
      <c r="J5" s="343" t="e">
        <f>I5</f>
        <v>#REF!</v>
      </c>
      <c r="K5" s="343"/>
      <c r="L5" s="863"/>
    </row>
    <row r="6" spans="1:12">
      <c r="A6" s="325"/>
      <c r="B6" s="258" t="s">
        <v>73</v>
      </c>
      <c r="C6" s="259" t="s">
        <v>130</v>
      </c>
      <c r="D6" s="259">
        <f>Gia_Tbi!D4</f>
        <v>0.4</v>
      </c>
      <c r="E6" s="259">
        <v>5</v>
      </c>
      <c r="F6" s="865">
        <f>Gia_Tbi!F4</f>
        <v>10000000</v>
      </c>
      <c r="G6" s="866">
        <f>Gia_Tbi!G4</f>
        <v>4000</v>
      </c>
      <c r="H6" s="867" t="e">
        <f>'DK thuong xuyen'!G10*80%</f>
        <v>#REF!</v>
      </c>
      <c r="I6" s="339" t="e">
        <f>$G6*H6</f>
        <v>#REF!</v>
      </c>
      <c r="J6" s="343"/>
      <c r="K6" s="343"/>
    </row>
    <row r="7" spans="1:12">
      <c r="A7" s="325"/>
      <c r="B7" s="258" t="s">
        <v>24</v>
      </c>
      <c r="C7" s="259" t="s">
        <v>130</v>
      </c>
      <c r="D7" s="259">
        <f>Gia_Tbi!D6</f>
        <v>2.2000000000000002</v>
      </c>
      <c r="E7" s="259">
        <v>10</v>
      </c>
      <c r="F7" s="865">
        <f>Gia_Tbi!F6</f>
        <v>12000000</v>
      </c>
      <c r="G7" s="866">
        <f>Gia_Tbi!G6</f>
        <v>3000</v>
      </c>
      <c r="H7" s="867" t="e">
        <f>H6/3</f>
        <v>#REF!</v>
      </c>
      <c r="I7" s="339" t="e">
        <f>$G7*H7</f>
        <v>#REF!</v>
      </c>
      <c r="J7" s="343"/>
      <c r="K7" s="343"/>
    </row>
    <row r="8" spans="1:12">
      <c r="A8" s="325"/>
      <c r="B8" s="263" t="s">
        <v>8</v>
      </c>
      <c r="C8" s="264" t="s">
        <v>147</v>
      </c>
      <c r="D8" s="264">
        <v>0</v>
      </c>
      <c r="E8" s="265">
        <v>1.05</v>
      </c>
      <c r="F8" s="868">
        <f>Gia_Tbi!F13</f>
        <v>1686</v>
      </c>
      <c r="G8" s="869">
        <f>Gia_Tbi!G13</f>
        <v>13488</v>
      </c>
      <c r="H8" s="870" t="e">
        <f>(H6*D6+H7*D7)</f>
        <v>#REF!</v>
      </c>
      <c r="I8" s="339" t="e">
        <f>$G8*H8</f>
        <v>#REF!</v>
      </c>
      <c r="J8" s="343"/>
      <c r="K8" s="343" t="e">
        <f>I8</f>
        <v>#REF!</v>
      </c>
    </row>
    <row r="9" spans="1:12" ht="31.5">
      <c r="A9" s="327">
        <f>'DK thuong xuyen'!A11</f>
        <v>2</v>
      </c>
      <c r="B9" s="294" t="str">
        <f>'DK thuong xuyen'!B11</f>
        <v>Cập nhật thông tin biến động về thuộc tính địa chính của thửa đất</v>
      </c>
      <c r="C9" s="844"/>
      <c r="D9" s="844"/>
      <c r="E9" s="845"/>
      <c r="F9" s="871"/>
      <c r="G9" s="872"/>
      <c r="H9" s="873"/>
      <c r="I9" s="339"/>
      <c r="J9" s="343"/>
      <c r="K9" s="343"/>
    </row>
    <row r="10" spans="1:12" s="864" customFormat="1" ht="19.5" customHeight="1">
      <c r="A10" s="874" t="str">
        <f>'DK thuong xuyen'!A12</f>
        <v>2.1</v>
      </c>
      <c r="B10" s="875" t="str">
        <f>'DK thuong xuyen'!B12</f>
        <v>Đăng ký đất đai, tài sản gắn liền với đất lần đâu</v>
      </c>
      <c r="C10" s="269"/>
      <c r="D10" s="270"/>
      <c r="E10" s="860"/>
      <c r="F10" s="861"/>
      <c r="G10" s="861"/>
      <c r="H10" s="862"/>
      <c r="I10" s="335">
        <f>SUM(I11:I12)</f>
        <v>569.40000000000009</v>
      </c>
      <c r="J10" s="343">
        <f>I10</f>
        <v>569.40000000000009</v>
      </c>
      <c r="K10" s="343"/>
      <c r="L10" s="863"/>
    </row>
    <row r="11" spans="1:12">
      <c r="A11" s="325"/>
      <c r="B11" s="258" t="s">
        <v>73</v>
      </c>
      <c r="C11" s="259" t="s">
        <v>130</v>
      </c>
      <c r="D11" s="259">
        <f>D6</f>
        <v>0.4</v>
      </c>
      <c r="E11" s="259">
        <f>E6</f>
        <v>5</v>
      </c>
      <c r="F11" s="865">
        <f>F6</f>
        <v>10000000</v>
      </c>
      <c r="G11" s="866">
        <f>G6</f>
        <v>4000</v>
      </c>
      <c r="H11" s="867">
        <f>'DK thuong xuyen'!G12*80%</f>
        <v>0.11388000000000001</v>
      </c>
      <c r="I11" s="339">
        <f>$G11*H11</f>
        <v>455.52000000000004</v>
      </c>
      <c r="J11" s="343"/>
      <c r="K11" s="343"/>
    </row>
    <row r="12" spans="1:12">
      <c r="A12" s="325"/>
      <c r="B12" s="258" t="s">
        <v>24</v>
      </c>
      <c r="C12" s="259" t="s">
        <v>130</v>
      </c>
      <c r="D12" s="259">
        <f t="shared" ref="D12:G13" si="0">D7</f>
        <v>2.2000000000000002</v>
      </c>
      <c r="E12" s="259">
        <f t="shared" si="0"/>
        <v>10</v>
      </c>
      <c r="F12" s="865">
        <f t="shared" si="0"/>
        <v>12000000</v>
      </c>
      <c r="G12" s="866">
        <f t="shared" si="0"/>
        <v>3000</v>
      </c>
      <c r="H12" s="867">
        <f>H11/3</f>
        <v>3.7960000000000001E-2</v>
      </c>
      <c r="I12" s="339">
        <f>$G12*H12</f>
        <v>113.88</v>
      </c>
      <c r="J12" s="343"/>
      <c r="K12" s="343"/>
    </row>
    <row r="13" spans="1:12">
      <c r="A13" s="325"/>
      <c r="B13" s="263" t="s">
        <v>8</v>
      </c>
      <c r="C13" s="264" t="s">
        <v>147</v>
      </c>
      <c r="D13" s="259">
        <f t="shared" si="0"/>
        <v>0</v>
      </c>
      <c r="E13" s="265">
        <f t="shared" si="0"/>
        <v>1.05</v>
      </c>
      <c r="F13" s="865">
        <f t="shared" si="0"/>
        <v>1686</v>
      </c>
      <c r="G13" s="866">
        <f t="shared" si="0"/>
        <v>13488</v>
      </c>
      <c r="H13" s="870">
        <f>(H11*D11+H12*D12)</f>
        <v>0.12906400000000001</v>
      </c>
      <c r="I13" s="339">
        <f>$G13*H13</f>
        <v>1740.8152320000002</v>
      </c>
      <c r="J13" s="343"/>
      <c r="K13" s="343">
        <f>I13</f>
        <v>1740.8152320000002</v>
      </c>
    </row>
    <row r="14" spans="1:12" s="864" customFormat="1" ht="19.5" customHeight="1">
      <c r="A14" s="874" t="str">
        <f>'DK thuong xuyen'!A13</f>
        <v>2.2</v>
      </c>
      <c r="B14" s="875" t="str">
        <f>'DK thuong xuyen'!B13</f>
        <v>Đăng ký thế chấp</v>
      </c>
      <c r="C14" s="269"/>
      <c r="D14" s="270"/>
      <c r="E14" s="860"/>
      <c r="F14" s="861"/>
      <c r="G14" s="861"/>
      <c r="H14" s="862"/>
      <c r="I14" s="335">
        <f>SUM(I15:I16)</f>
        <v>37.134782608695659</v>
      </c>
      <c r="J14" s="343">
        <f>I14</f>
        <v>37.134782608695659</v>
      </c>
      <c r="K14" s="343"/>
      <c r="L14" s="863"/>
    </row>
    <row r="15" spans="1:12">
      <c r="A15" s="325"/>
      <c r="B15" s="258" t="s">
        <v>73</v>
      </c>
      <c r="C15" s="259" t="s">
        <v>130</v>
      </c>
      <c r="D15" s="259">
        <f>D6</f>
        <v>0.4</v>
      </c>
      <c r="E15" s="259">
        <f t="shared" ref="E15:G15" si="1">E6</f>
        <v>5</v>
      </c>
      <c r="F15" s="813">
        <f t="shared" si="1"/>
        <v>10000000</v>
      </c>
      <c r="G15" s="813">
        <f t="shared" si="1"/>
        <v>4000</v>
      </c>
      <c r="H15" s="867">
        <f>'DK thuong xuyen'!G13*80%</f>
        <v>7.4269565217391312E-3</v>
      </c>
      <c r="I15" s="339">
        <f>$G15*H15</f>
        <v>29.707826086956526</v>
      </c>
      <c r="J15" s="343"/>
      <c r="K15" s="343"/>
    </row>
    <row r="16" spans="1:12">
      <c r="A16" s="325"/>
      <c r="B16" s="258" t="s">
        <v>24</v>
      </c>
      <c r="C16" s="259" t="s">
        <v>130</v>
      </c>
      <c r="D16" s="259">
        <f t="shared" ref="D16:G17" si="2">D7</f>
        <v>2.2000000000000002</v>
      </c>
      <c r="E16" s="259">
        <f t="shared" si="2"/>
        <v>10</v>
      </c>
      <c r="F16" s="813">
        <f t="shared" si="2"/>
        <v>12000000</v>
      </c>
      <c r="G16" s="813">
        <f t="shared" si="2"/>
        <v>3000</v>
      </c>
      <c r="H16" s="867">
        <f>H15/3</f>
        <v>2.4756521739130437E-3</v>
      </c>
      <c r="I16" s="339">
        <f>$G16*H16</f>
        <v>7.4269565217391316</v>
      </c>
      <c r="J16" s="343"/>
      <c r="K16" s="343"/>
    </row>
    <row r="17" spans="1:11">
      <c r="A17" s="325"/>
      <c r="B17" s="263" t="s">
        <v>8</v>
      </c>
      <c r="C17" s="264" t="str">
        <f>C13</f>
        <v>kW</v>
      </c>
      <c r="D17" s="259">
        <f t="shared" si="2"/>
        <v>0</v>
      </c>
      <c r="E17" s="265">
        <f t="shared" si="2"/>
        <v>1.05</v>
      </c>
      <c r="F17" s="813">
        <f t="shared" si="2"/>
        <v>1686</v>
      </c>
      <c r="G17" s="813">
        <f t="shared" si="2"/>
        <v>13488</v>
      </c>
      <c r="H17" s="870">
        <f>(H15*D15+H16*D16)</f>
        <v>8.4172173913043494E-3</v>
      </c>
      <c r="I17" s="339">
        <f>$G17*H17</f>
        <v>113.53142817391307</v>
      </c>
      <c r="J17" s="343"/>
      <c r="K17" s="343">
        <f>I17</f>
        <v>113.53142817391307</v>
      </c>
    </row>
    <row r="18" spans="1:11" s="279" customFormat="1" ht="16.5" customHeight="1">
      <c r="A18" s="846" t="str">
        <f>'DK thuong xuyen'!A14</f>
        <v>2.3</v>
      </c>
      <c r="B18" s="847" t="str">
        <f>'DK thuong xuyen'!B14</f>
        <v>Chuyển quyền sử dụng toàn bộ thửa đất</v>
      </c>
      <c r="C18" s="269"/>
      <c r="D18" s="270"/>
      <c r="E18" s="876"/>
      <c r="F18" s="877"/>
      <c r="G18" s="878"/>
      <c r="H18" s="862"/>
      <c r="I18" s="335">
        <f>SUM(I19:I20)</f>
        <v>457.99565217391313</v>
      </c>
      <c r="J18" s="343">
        <f>I18</f>
        <v>457.99565217391313</v>
      </c>
      <c r="K18" s="343"/>
    </row>
    <row r="19" spans="1:11">
      <c r="A19" s="325"/>
      <c r="B19" s="258" t="s">
        <v>73</v>
      </c>
      <c r="C19" s="259" t="str">
        <f>C6</f>
        <v>Cái</v>
      </c>
      <c r="D19" s="259">
        <f>D6</f>
        <v>0.4</v>
      </c>
      <c r="E19" s="259">
        <f>E6</f>
        <v>5</v>
      </c>
      <c r="F19" s="271">
        <f>F6</f>
        <v>10000000</v>
      </c>
      <c r="G19" s="271">
        <f>G6</f>
        <v>4000</v>
      </c>
      <c r="H19" s="867">
        <f>'DK thuong xuyen'!G14*80%</f>
        <v>9.1599130434782627E-2</v>
      </c>
      <c r="I19" s="339">
        <f>$G19*H19</f>
        <v>366.39652173913049</v>
      </c>
      <c r="J19" s="343"/>
      <c r="K19" s="343"/>
    </row>
    <row r="20" spans="1:11">
      <c r="A20" s="325"/>
      <c r="B20" s="258" t="s">
        <v>24</v>
      </c>
      <c r="C20" s="259" t="str">
        <f t="shared" ref="C20:G21" si="3">C7</f>
        <v>Cái</v>
      </c>
      <c r="D20" s="259">
        <f>D7</f>
        <v>2.2000000000000002</v>
      </c>
      <c r="E20" s="259">
        <f t="shared" si="3"/>
        <v>10</v>
      </c>
      <c r="F20" s="271">
        <f t="shared" si="3"/>
        <v>12000000</v>
      </c>
      <c r="G20" s="271">
        <f t="shared" si="3"/>
        <v>3000</v>
      </c>
      <c r="H20" s="867">
        <f>H19/3</f>
        <v>3.0533043478260875E-2</v>
      </c>
      <c r="I20" s="339">
        <f>$G20*H20</f>
        <v>91.599130434782623</v>
      </c>
      <c r="J20" s="343"/>
      <c r="K20" s="343"/>
    </row>
    <row r="21" spans="1:11">
      <c r="A21" s="325"/>
      <c r="B21" s="263" t="s">
        <v>8</v>
      </c>
      <c r="C21" s="259" t="str">
        <f t="shared" si="3"/>
        <v>kW</v>
      </c>
      <c r="D21" s="259">
        <f t="shared" si="3"/>
        <v>0</v>
      </c>
      <c r="E21" s="259">
        <f t="shared" si="3"/>
        <v>1.05</v>
      </c>
      <c r="F21" s="271">
        <f t="shared" si="3"/>
        <v>1686</v>
      </c>
      <c r="G21" s="271">
        <f t="shared" si="3"/>
        <v>13488</v>
      </c>
      <c r="H21" s="870">
        <f>(H19*D19+H20*D20)</f>
        <v>0.10381234782608698</v>
      </c>
      <c r="I21" s="339">
        <f>$G21*H21</f>
        <v>1400.2209474782612</v>
      </c>
      <c r="J21" s="343"/>
      <c r="K21" s="343">
        <f>I21</f>
        <v>1400.2209474782612</v>
      </c>
    </row>
    <row r="22" spans="1:11" s="442" customFormat="1">
      <c r="A22" s="331" t="str">
        <f>'DK thuong xuyen'!A15</f>
        <v>2.4</v>
      </c>
      <c r="B22" s="289" t="str">
        <f>'DK thuong xuyen'!B15</f>
        <v>Chuyển quyền sử dụng một phần thửa đất</v>
      </c>
      <c r="C22" s="825"/>
      <c r="D22" s="272"/>
      <c r="E22" s="879"/>
      <c r="F22" s="877"/>
      <c r="G22" s="878"/>
      <c r="H22" s="862"/>
      <c r="I22" s="335">
        <f>SUM(I23:I24)</f>
        <v>495.13043478260875</v>
      </c>
      <c r="J22" s="343">
        <f>I22*L3</f>
        <v>49513.043478260872</v>
      </c>
      <c r="K22" s="343"/>
    </row>
    <row r="23" spans="1:11">
      <c r="A23" s="325"/>
      <c r="B23" s="258" t="s">
        <v>73</v>
      </c>
      <c r="C23" s="259" t="s">
        <v>130</v>
      </c>
      <c r="D23" s="259">
        <f>D6</f>
        <v>0.4</v>
      </c>
      <c r="E23" s="259">
        <v>5</v>
      </c>
      <c r="F23" s="865">
        <f>F6</f>
        <v>10000000</v>
      </c>
      <c r="G23" s="866">
        <f>G19</f>
        <v>4000</v>
      </c>
      <c r="H23" s="867">
        <f>'DK thuong xuyen'!G15*80%</f>
        <v>9.902608695652175E-2</v>
      </c>
      <c r="I23" s="339">
        <f>$G23*H23</f>
        <v>396.10434782608701</v>
      </c>
      <c r="J23" s="343"/>
      <c r="K23" s="343"/>
    </row>
    <row r="24" spans="1:11">
      <c r="A24" s="325"/>
      <c r="B24" s="258" t="s">
        <v>24</v>
      </c>
      <c r="C24" s="259" t="s">
        <v>130</v>
      </c>
      <c r="D24" s="259">
        <f t="shared" ref="D24:D25" si="4">D7</f>
        <v>2.2000000000000002</v>
      </c>
      <c r="E24" s="259">
        <v>10</v>
      </c>
      <c r="F24" s="865">
        <f t="shared" ref="F24:F25" si="5">F7</f>
        <v>12000000</v>
      </c>
      <c r="G24" s="866">
        <f t="shared" ref="G24:G25" si="6">G20</f>
        <v>3000</v>
      </c>
      <c r="H24" s="867">
        <f>H23/3</f>
        <v>3.3008695652173917E-2</v>
      </c>
      <c r="I24" s="339">
        <f>$G24*H24</f>
        <v>99.026086956521752</v>
      </c>
      <c r="J24" s="343"/>
      <c r="K24" s="343"/>
    </row>
    <row r="25" spans="1:11">
      <c r="A25" s="325"/>
      <c r="B25" s="263" t="s">
        <v>8</v>
      </c>
      <c r="C25" s="264" t="s">
        <v>147</v>
      </c>
      <c r="D25" s="259">
        <f t="shared" si="4"/>
        <v>0</v>
      </c>
      <c r="E25" s="265">
        <v>1.05</v>
      </c>
      <c r="F25" s="865">
        <f t="shared" si="5"/>
        <v>1686</v>
      </c>
      <c r="G25" s="866">
        <f t="shared" si="6"/>
        <v>13488</v>
      </c>
      <c r="H25" s="870">
        <f>(H23*D23+H24*D24)</f>
        <v>0.11222956521739132</v>
      </c>
      <c r="I25" s="339">
        <f>$G25*H25</f>
        <v>1513.7523756521741</v>
      </c>
      <c r="J25" s="343"/>
      <c r="K25" s="343">
        <f>I25*L3</f>
        <v>151375.23756521742</v>
      </c>
    </row>
    <row r="26" spans="1:11" s="442" customFormat="1" ht="31.5">
      <c r="A26" s="331" t="str">
        <f>'DK thuong xuyen'!A16</f>
        <v>2.5</v>
      </c>
      <c r="B26" s="289" t="str">
        <f>'DK thuong xuyen'!B16</f>
        <v>Chỉnh lý hình thể thửa đất vào dữ liệu không gian địa chính của CSDL</v>
      </c>
      <c r="C26" s="825"/>
      <c r="D26" s="272"/>
      <c r="E26" s="879"/>
      <c r="F26" s="877"/>
      <c r="G26" s="878"/>
      <c r="H26" s="862"/>
      <c r="I26" s="335">
        <f>SUM(I27:I28)</f>
        <v>457.99565217391313</v>
      </c>
      <c r="J26" s="343">
        <f>I26*L3</f>
        <v>45799.565217391311</v>
      </c>
      <c r="K26" s="343"/>
    </row>
    <row r="27" spans="1:11">
      <c r="A27" s="325"/>
      <c r="B27" s="258" t="s">
        <v>73</v>
      </c>
      <c r="C27" s="259" t="s">
        <v>130</v>
      </c>
      <c r="D27" s="259">
        <f>D6</f>
        <v>0.4</v>
      </c>
      <c r="E27" s="259">
        <v>5</v>
      </c>
      <c r="F27" s="865">
        <f>F23</f>
        <v>10000000</v>
      </c>
      <c r="G27" s="866">
        <f>G23</f>
        <v>4000</v>
      </c>
      <c r="H27" s="867">
        <f>'DK thuong xuyen'!G16*80%</f>
        <v>9.1599130434782627E-2</v>
      </c>
      <c r="I27" s="339">
        <f>$G27*H27</f>
        <v>366.39652173913049</v>
      </c>
      <c r="J27" s="343"/>
      <c r="K27" s="343"/>
    </row>
    <row r="28" spans="1:11">
      <c r="A28" s="325"/>
      <c r="B28" s="258" t="s">
        <v>24</v>
      </c>
      <c r="C28" s="259" t="s">
        <v>130</v>
      </c>
      <c r="D28" s="259">
        <f t="shared" ref="D28:D29" si="7">D7</f>
        <v>2.2000000000000002</v>
      </c>
      <c r="E28" s="259">
        <v>10</v>
      </c>
      <c r="F28" s="865">
        <f t="shared" ref="F28:G29" si="8">F24</f>
        <v>12000000</v>
      </c>
      <c r="G28" s="866">
        <f t="shared" si="8"/>
        <v>3000</v>
      </c>
      <c r="H28" s="867">
        <f>H27/3</f>
        <v>3.0533043478260875E-2</v>
      </c>
      <c r="I28" s="339">
        <f>$G28*H28</f>
        <v>91.599130434782623</v>
      </c>
      <c r="J28" s="343"/>
      <c r="K28" s="343"/>
    </row>
    <row r="29" spans="1:11">
      <c r="A29" s="325"/>
      <c r="B29" s="263" t="s">
        <v>8</v>
      </c>
      <c r="C29" s="264" t="s">
        <v>147</v>
      </c>
      <c r="D29" s="259">
        <f t="shared" si="7"/>
        <v>0</v>
      </c>
      <c r="E29" s="265">
        <v>1.05</v>
      </c>
      <c r="F29" s="865">
        <f t="shared" si="8"/>
        <v>1686</v>
      </c>
      <c r="G29" s="866">
        <f t="shared" si="8"/>
        <v>13488</v>
      </c>
      <c r="H29" s="870">
        <f>(H27*D27+H28*D28)</f>
        <v>0.10381234782608698</v>
      </c>
      <c r="I29" s="339">
        <f>$G29*H29</f>
        <v>1400.2209474782612</v>
      </c>
      <c r="J29" s="343"/>
      <c r="K29" s="343">
        <f>I29*L3</f>
        <v>140022.09474782611</v>
      </c>
    </row>
    <row r="30" spans="1:11" s="442" customFormat="1">
      <c r="A30" s="331" t="str">
        <f>'DK thuong xuyen'!A17</f>
        <v>2.6</v>
      </c>
      <c r="B30" s="289" t="str">
        <f>'DK thuong xuyen'!B17</f>
        <v>Cấp đổi, cấp lại GCN</v>
      </c>
      <c r="C30" s="830"/>
      <c r="D30" s="272"/>
      <c r="E30" s="879"/>
      <c r="F30" s="877"/>
      <c r="G30" s="878"/>
      <c r="H30" s="862"/>
      <c r="I30" s="335">
        <f>SUM(I31:I32)</f>
        <v>210.43043478260873</v>
      </c>
      <c r="J30" s="343">
        <f>I30*L3</f>
        <v>21043.043478260872</v>
      </c>
      <c r="K30" s="343"/>
    </row>
    <row r="31" spans="1:11">
      <c r="A31" s="325"/>
      <c r="B31" s="258" t="s">
        <v>73</v>
      </c>
      <c r="C31" s="259" t="s">
        <v>130</v>
      </c>
      <c r="D31" s="259">
        <f>D27</f>
        <v>0.4</v>
      </c>
      <c r="E31" s="259">
        <v>5</v>
      </c>
      <c r="F31" s="865">
        <f>F27</f>
        <v>10000000</v>
      </c>
      <c r="G31" s="866">
        <f>G27</f>
        <v>4000</v>
      </c>
      <c r="H31" s="867">
        <f>'DK thuong xuyen'!G17*80%</f>
        <v>4.2086086956521745E-2</v>
      </c>
      <c r="I31" s="339">
        <f>$G31*H31</f>
        <v>168.34434782608699</v>
      </c>
      <c r="J31" s="343"/>
      <c r="K31" s="343"/>
    </row>
    <row r="32" spans="1:11">
      <c r="A32" s="325"/>
      <c r="B32" s="258" t="s">
        <v>24</v>
      </c>
      <c r="C32" s="259" t="s">
        <v>130</v>
      </c>
      <c r="D32" s="259">
        <f t="shared" ref="D32:D33" si="9">D28</f>
        <v>2.2000000000000002</v>
      </c>
      <c r="E32" s="259">
        <v>10</v>
      </c>
      <c r="F32" s="865">
        <f t="shared" ref="F32:G33" si="10">F28</f>
        <v>12000000</v>
      </c>
      <c r="G32" s="866">
        <f t="shared" si="10"/>
        <v>3000</v>
      </c>
      <c r="H32" s="867">
        <f>H31/3</f>
        <v>1.4028695652173915E-2</v>
      </c>
      <c r="I32" s="339">
        <f>$G32*H32</f>
        <v>42.086086956521747</v>
      </c>
      <c r="J32" s="343"/>
      <c r="K32" s="343"/>
    </row>
    <row r="33" spans="1:11">
      <c r="A33" s="325"/>
      <c r="B33" s="263" t="s">
        <v>8</v>
      </c>
      <c r="C33" s="264" t="s">
        <v>147</v>
      </c>
      <c r="D33" s="259">
        <f t="shared" si="9"/>
        <v>0</v>
      </c>
      <c r="E33" s="265">
        <v>1.05</v>
      </c>
      <c r="F33" s="865">
        <f t="shared" si="10"/>
        <v>1686</v>
      </c>
      <c r="G33" s="866">
        <f t="shared" si="10"/>
        <v>13488</v>
      </c>
      <c r="H33" s="870">
        <f>(H31*D31+H32*D32)</f>
        <v>4.7697565217391311E-2</v>
      </c>
      <c r="I33" s="339">
        <f>$G33*H33</f>
        <v>643.34475965217405</v>
      </c>
      <c r="J33" s="343"/>
      <c r="K33" s="343">
        <f>I33*L3</f>
        <v>64334.475965217403</v>
      </c>
    </row>
    <row r="34" spans="1:11" s="442" customFormat="1">
      <c r="A34" s="331" t="str">
        <f>'DK thuong xuyen'!A18</f>
        <v>2.7</v>
      </c>
      <c r="B34" s="289" t="s">
        <v>174</v>
      </c>
      <c r="C34" s="828"/>
      <c r="D34" s="272"/>
      <c r="E34" s="879"/>
      <c r="F34" s="877"/>
      <c r="G34" s="878"/>
      <c r="H34" s="862"/>
      <c r="I34" s="335">
        <f>SUM(I35:I36)</f>
        <v>309.45652173913038</v>
      </c>
      <c r="J34" s="343">
        <f>I34*L3</f>
        <v>30945.652173913037</v>
      </c>
      <c r="K34" s="343"/>
    </row>
    <row r="35" spans="1:11">
      <c r="A35" s="325"/>
      <c r="B35" s="258" t="s">
        <v>73</v>
      </c>
      <c r="C35" s="259" t="s">
        <v>130</v>
      </c>
      <c r="D35" s="259">
        <f>D31</f>
        <v>0.4</v>
      </c>
      <c r="E35" s="259">
        <v>5</v>
      </c>
      <c r="F35" s="865">
        <f>F31</f>
        <v>10000000</v>
      </c>
      <c r="G35" s="866">
        <f>G31</f>
        <v>4000</v>
      </c>
      <c r="H35" s="867">
        <f>'DK thuong xuyen'!G18*80%</f>
        <v>6.1891304347826082E-2</v>
      </c>
      <c r="I35" s="339">
        <f>$G35*H35</f>
        <v>247.56521739130432</v>
      </c>
      <c r="J35" s="343"/>
      <c r="K35" s="343"/>
    </row>
    <row r="36" spans="1:11">
      <c r="A36" s="325"/>
      <c r="B36" s="258" t="s">
        <v>24</v>
      </c>
      <c r="C36" s="259" t="s">
        <v>130</v>
      </c>
      <c r="D36" s="259">
        <f t="shared" ref="D36:D37" si="11">D32</f>
        <v>2.2000000000000002</v>
      </c>
      <c r="E36" s="259">
        <v>10</v>
      </c>
      <c r="F36" s="865">
        <f t="shared" ref="F36:G37" si="12">F32</f>
        <v>12000000</v>
      </c>
      <c r="G36" s="866">
        <f t="shared" si="12"/>
        <v>3000</v>
      </c>
      <c r="H36" s="867">
        <f>H35/3</f>
        <v>2.0630434782608693E-2</v>
      </c>
      <c r="I36" s="339">
        <f>$G36*H36</f>
        <v>61.891304347826079</v>
      </c>
      <c r="J36" s="343"/>
      <c r="K36" s="343"/>
    </row>
    <row r="37" spans="1:11">
      <c r="A37" s="325"/>
      <c r="B37" s="263" t="s">
        <v>8</v>
      </c>
      <c r="C37" s="264" t="s">
        <v>147</v>
      </c>
      <c r="D37" s="259">
        <f t="shared" si="11"/>
        <v>0</v>
      </c>
      <c r="E37" s="265">
        <v>1.05</v>
      </c>
      <c r="F37" s="865">
        <f t="shared" si="12"/>
        <v>1686</v>
      </c>
      <c r="G37" s="866">
        <f t="shared" si="12"/>
        <v>13488</v>
      </c>
      <c r="H37" s="870">
        <f>(H35*D35+H36*D36)</f>
        <v>7.0143478260869557E-2</v>
      </c>
      <c r="I37" s="339">
        <f>$G37*H37</f>
        <v>946.0952347826086</v>
      </c>
      <c r="J37" s="343"/>
      <c r="K37" s="343">
        <f>I37*L3</f>
        <v>94609.52347826086</v>
      </c>
    </row>
    <row r="38" spans="1:11" ht="53.25" customHeight="1">
      <c r="A38" s="327">
        <f>'DK thuong xuyen'!A19</f>
        <v>3</v>
      </c>
      <c r="B38" s="274" t="str">
        <f>'DK thuong xuyen'!B19</f>
        <v>Quét (chụp) giấy tờ pháp lý về quyền sử dụng đất và bản đồ, sơ đồ, bản trích đo địa chính đối với trường hợp đăng ký bổ sung lần đầu, đăng ký biến động (nếu có)</v>
      </c>
      <c r="C38" s="848"/>
      <c r="D38" s="849"/>
      <c r="E38" s="850"/>
      <c r="F38" s="880"/>
      <c r="G38" s="881"/>
      <c r="H38" s="873"/>
      <c r="I38" s="339"/>
      <c r="J38" s="343"/>
      <c r="K38" s="343"/>
    </row>
    <row r="39" spans="1:11" s="442" customFormat="1" ht="60" customHeight="1">
      <c r="A39" s="331" t="str">
        <f>'DK thuong xuyen'!A20</f>
        <v>3.1</v>
      </c>
      <c r="B39" s="289" t="e">
        <f>'DK thuong xuyen'!B20</f>
        <v>#REF!</v>
      </c>
      <c r="C39" s="830"/>
      <c r="D39" s="272"/>
      <c r="E39" s="879"/>
      <c r="F39" s="877"/>
      <c r="G39" s="878"/>
      <c r="H39" s="862"/>
      <c r="I39" s="335" t="e">
        <f>SUM(I40:I41)</f>
        <v>#REF!</v>
      </c>
      <c r="J39" s="343" t="e">
        <f>I39*L3</f>
        <v>#REF!</v>
      </c>
      <c r="K39" s="343"/>
    </row>
    <row r="40" spans="1:11">
      <c r="A40" s="325"/>
      <c r="B40" s="258" t="s">
        <v>73</v>
      </c>
      <c r="C40" s="259" t="str">
        <f>C19</f>
        <v>Cái</v>
      </c>
      <c r="D40" s="259">
        <f>D6</f>
        <v>0.4</v>
      </c>
      <c r="E40" s="259">
        <f>E19</f>
        <v>5</v>
      </c>
      <c r="F40" s="271">
        <f>F19</f>
        <v>10000000</v>
      </c>
      <c r="G40" s="271">
        <f>G19</f>
        <v>4000</v>
      </c>
      <c r="H40" s="867" t="e">
        <f>'DK thuong xuyen'!G20*80%</f>
        <v>#REF!</v>
      </c>
      <c r="I40" s="339" t="e">
        <f>$G40*H40</f>
        <v>#REF!</v>
      </c>
      <c r="J40" s="343"/>
      <c r="K40" s="343"/>
    </row>
    <row r="41" spans="1:11">
      <c r="A41" s="325"/>
      <c r="B41" s="258" t="s">
        <v>24</v>
      </c>
      <c r="C41" s="259" t="str">
        <f t="shared" ref="C41:G42" si="13">C20</f>
        <v>Cái</v>
      </c>
      <c r="D41" s="259">
        <f>D7</f>
        <v>2.2000000000000002</v>
      </c>
      <c r="E41" s="259">
        <f t="shared" si="13"/>
        <v>10</v>
      </c>
      <c r="F41" s="271">
        <f t="shared" si="13"/>
        <v>12000000</v>
      </c>
      <c r="G41" s="271">
        <f t="shared" si="13"/>
        <v>3000</v>
      </c>
      <c r="H41" s="867" t="e">
        <f>H40/3</f>
        <v>#REF!</v>
      </c>
      <c r="I41" s="339" t="e">
        <f>$G41*H41</f>
        <v>#REF!</v>
      </c>
      <c r="J41" s="343"/>
      <c r="K41" s="343"/>
    </row>
    <row r="42" spans="1:11">
      <c r="A42" s="325"/>
      <c r="B42" s="263" t="s">
        <v>8</v>
      </c>
      <c r="C42" s="259" t="str">
        <f t="shared" si="13"/>
        <v>kW</v>
      </c>
      <c r="D42" s="259">
        <f t="shared" si="13"/>
        <v>0</v>
      </c>
      <c r="E42" s="265">
        <f t="shared" si="13"/>
        <v>1.05</v>
      </c>
      <c r="F42" s="271">
        <f t="shared" si="13"/>
        <v>1686</v>
      </c>
      <c r="G42" s="271">
        <f t="shared" si="13"/>
        <v>13488</v>
      </c>
      <c r="H42" s="870" t="e">
        <f>(H40*D40+H41*D41)</f>
        <v>#REF!</v>
      </c>
      <c r="I42" s="339" t="e">
        <f>$G42*H42</f>
        <v>#REF!</v>
      </c>
      <c r="J42" s="343"/>
      <c r="K42" s="343" t="e">
        <f>I42*L3</f>
        <v>#REF!</v>
      </c>
    </row>
    <row r="43" spans="1:11" s="442" customFormat="1" ht="30" customHeight="1">
      <c r="A43" s="331" t="str">
        <f>'DK thuong xuyen'!A21</f>
        <v>3.2</v>
      </c>
      <c r="B43" s="289" t="e">
        <f>'DK thuong xuyen'!B21</f>
        <v>#REF!</v>
      </c>
      <c r="C43" s="827"/>
      <c r="D43" s="270"/>
      <c r="E43" s="876"/>
      <c r="F43" s="882"/>
      <c r="G43" s="861"/>
      <c r="H43" s="862"/>
      <c r="I43" s="335" t="e">
        <f>SUM(I44:I45)</f>
        <v>#REF!</v>
      </c>
      <c r="J43" s="343" t="e">
        <f>I43</f>
        <v>#REF!</v>
      </c>
      <c r="K43" s="343"/>
    </row>
    <row r="44" spans="1:11">
      <c r="A44" s="325"/>
      <c r="B44" s="258" t="s">
        <v>73</v>
      </c>
      <c r="C44" s="259" t="str">
        <f t="shared" ref="C44:G46" si="14">C40</f>
        <v>Cái</v>
      </c>
      <c r="D44" s="259">
        <f t="shared" si="14"/>
        <v>0.4</v>
      </c>
      <c r="E44" s="259">
        <f t="shared" si="14"/>
        <v>5</v>
      </c>
      <c r="F44" s="440">
        <f t="shared" si="14"/>
        <v>10000000</v>
      </c>
      <c r="G44" s="440">
        <f t="shared" si="14"/>
        <v>4000</v>
      </c>
      <c r="H44" s="867" t="e">
        <f>'DK thuong xuyen'!G21*80%</f>
        <v>#REF!</v>
      </c>
      <c r="I44" s="339" t="e">
        <f>$G44*H44</f>
        <v>#REF!</v>
      </c>
      <c r="J44" s="343"/>
      <c r="K44" s="343"/>
    </row>
    <row r="45" spans="1:11">
      <c r="A45" s="325"/>
      <c r="B45" s="258" t="s">
        <v>24</v>
      </c>
      <c r="C45" s="259" t="str">
        <f t="shared" si="14"/>
        <v>Cái</v>
      </c>
      <c r="D45" s="259">
        <f t="shared" si="14"/>
        <v>2.2000000000000002</v>
      </c>
      <c r="E45" s="259">
        <f t="shared" si="14"/>
        <v>10</v>
      </c>
      <c r="F45" s="440">
        <f t="shared" si="14"/>
        <v>12000000</v>
      </c>
      <c r="G45" s="440">
        <f t="shared" si="14"/>
        <v>3000</v>
      </c>
      <c r="H45" s="867" t="e">
        <f>H44/3</f>
        <v>#REF!</v>
      </c>
      <c r="I45" s="339" t="e">
        <f>$G45*H45</f>
        <v>#REF!</v>
      </c>
      <c r="J45" s="343"/>
      <c r="K45" s="343"/>
    </row>
    <row r="46" spans="1:11">
      <c r="A46" s="325"/>
      <c r="B46" s="263" t="s">
        <v>8</v>
      </c>
      <c r="C46" s="259" t="str">
        <f t="shared" si="14"/>
        <v>kW</v>
      </c>
      <c r="D46" s="259">
        <f t="shared" si="14"/>
        <v>0</v>
      </c>
      <c r="E46" s="265">
        <f t="shared" si="14"/>
        <v>1.05</v>
      </c>
      <c r="F46" s="440">
        <f t="shared" si="14"/>
        <v>1686</v>
      </c>
      <c r="G46" s="440">
        <f t="shared" si="14"/>
        <v>13488</v>
      </c>
      <c r="H46" s="870" t="e">
        <f>(H44*D44+H45*D45)</f>
        <v>#REF!</v>
      </c>
      <c r="I46" s="339" t="e">
        <f>$G46*H46</f>
        <v>#REF!</v>
      </c>
      <c r="J46" s="343"/>
      <c r="K46" s="343" t="e">
        <f>I46</f>
        <v>#REF!</v>
      </c>
    </row>
    <row r="47" spans="1:11" ht="77.25" customHeight="1">
      <c r="A47" s="331" t="str">
        <f>'DK thuong xuyen'!A22</f>
        <v>3.3</v>
      </c>
      <c r="B47" s="289" t="e">
        <f>'DK thuong xuyen'!B22</f>
        <v>#REF!</v>
      </c>
      <c r="C47" s="826"/>
      <c r="D47" s="259"/>
      <c r="E47" s="259"/>
      <c r="F47" s="271"/>
      <c r="G47" s="271"/>
      <c r="H47" s="870"/>
      <c r="I47" s="335" t="e">
        <f>SUM(I48:I49)</f>
        <v>#REF!</v>
      </c>
      <c r="J47" s="343" t="e">
        <f>I47*L3</f>
        <v>#REF!</v>
      </c>
      <c r="K47" s="343"/>
    </row>
    <row r="48" spans="1:11">
      <c r="A48" s="325"/>
      <c r="B48" s="258" t="s">
        <v>73</v>
      </c>
      <c r="C48" s="259" t="str">
        <f>C44</f>
        <v>Cái</v>
      </c>
      <c r="D48" s="259">
        <f t="shared" ref="D48:G48" si="15">D44</f>
        <v>0.4</v>
      </c>
      <c r="E48" s="259">
        <f t="shared" si="15"/>
        <v>5</v>
      </c>
      <c r="F48" s="440">
        <f t="shared" si="15"/>
        <v>10000000</v>
      </c>
      <c r="G48" s="440">
        <f t="shared" si="15"/>
        <v>4000</v>
      </c>
      <c r="H48" s="867" t="e">
        <f>'DK thuong xuyen'!G22*80%</f>
        <v>#REF!</v>
      </c>
      <c r="I48" s="339" t="e">
        <f>$G48*H48</f>
        <v>#REF!</v>
      </c>
      <c r="J48" s="343"/>
      <c r="K48" s="343"/>
    </row>
    <row r="49" spans="1:11">
      <c r="A49" s="325"/>
      <c r="B49" s="258" t="s">
        <v>24</v>
      </c>
      <c r="C49" s="259" t="str">
        <f t="shared" ref="C49:G50" si="16">C45</f>
        <v>Cái</v>
      </c>
      <c r="D49" s="259">
        <f t="shared" si="16"/>
        <v>2.2000000000000002</v>
      </c>
      <c r="E49" s="259">
        <f t="shared" si="16"/>
        <v>10</v>
      </c>
      <c r="F49" s="440">
        <f t="shared" si="16"/>
        <v>12000000</v>
      </c>
      <c r="G49" s="440">
        <f t="shared" si="16"/>
        <v>3000</v>
      </c>
      <c r="H49" s="867" t="e">
        <f>H48/3</f>
        <v>#REF!</v>
      </c>
      <c r="I49" s="339" t="e">
        <f>$G49*H49</f>
        <v>#REF!</v>
      </c>
      <c r="J49" s="343"/>
      <c r="K49" s="343"/>
    </row>
    <row r="50" spans="1:11">
      <c r="A50" s="325"/>
      <c r="B50" s="263" t="s">
        <v>8</v>
      </c>
      <c r="C50" s="259" t="str">
        <f t="shared" si="16"/>
        <v>kW</v>
      </c>
      <c r="D50" s="259">
        <f t="shared" si="16"/>
        <v>0</v>
      </c>
      <c r="E50" s="265">
        <f t="shared" si="16"/>
        <v>1.05</v>
      </c>
      <c r="F50" s="440">
        <f t="shared" si="16"/>
        <v>1686</v>
      </c>
      <c r="G50" s="440">
        <f t="shared" si="16"/>
        <v>13488</v>
      </c>
      <c r="H50" s="870" t="e">
        <f>(H48*D48+H49*D49)</f>
        <v>#REF!</v>
      </c>
      <c r="I50" s="339" t="e">
        <f>$G50*H50</f>
        <v>#REF!</v>
      </c>
      <c r="J50" s="343"/>
      <c r="K50" s="343" t="e">
        <f>I50*L3</f>
        <v>#REF!</v>
      </c>
    </row>
    <row r="51" spans="1:11">
      <c r="J51" s="343" t="e">
        <f>SUM(J4:J50)</f>
        <v>#REF!</v>
      </c>
      <c r="K51" s="343" t="e">
        <f>SUM(K4:K50)</f>
        <v>#REF!</v>
      </c>
    </row>
  </sheetData>
  <mergeCells count="1">
    <mergeCell ref="A1:I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28"/>
  <sheetViews>
    <sheetView topLeftCell="A13" workbookViewId="0">
      <selection activeCell="G15" sqref="G15"/>
    </sheetView>
  </sheetViews>
  <sheetFormatPr defaultColWidth="9" defaultRowHeight="15"/>
  <cols>
    <col min="1" max="1" width="7.875" style="36" customWidth="1"/>
    <col min="2" max="2" width="55.625" style="37" customWidth="1"/>
    <col min="3" max="3" width="9.375" style="36" customWidth="1"/>
    <col min="4" max="4" width="7.25" style="37" customWidth="1"/>
    <col min="5" max="5" width="9.25" style="37" customWidth="1"/>
    <col min="6" max="6" width="12.875" style="97" customWidth="1"/>
    <col min="7" max="7" width="11" style="225" bestFit="1" customWidth="1"/>
    <col min="8" max="8" width="14.25" style="226" customWidth="1"/>
    <col min="9" max="9" width="9" style="37"/>
    <col min="10" max="10" width="9.375" style="37" bestFit="1" customWidth="1"/>
    <col min="11" max="16384" width="9" style="37"/>
  </cols>
  <sheetData>
    <row r="1" spans="1:10" s="12" customFormat="1" ht="15.75">
      <c r="A1" s="1856" t="s">
        <v>75</v>
      </c>
      <c r="B1" s="1856"/>
      <c r="C1" s="1856"/>
      <c r="D1" s="1856"/>
      <c r="E1" s="1856"/>
      <c r="F1" s="1856"/>
      <c r="G1" s="1856"/>
      <c r="H1" s="1856"/>
    </row>
    <row r="2" spans="1:10" s="12" customFormat="1" ht="16.5" thickBot="1">
      <c r="A2" s="30"/>
      <c r="B2" s="5"/>
      <c r="C2" s="30"/>
      <c r="D2" s="5"/>
      <c r="E2" s="5"/>
      <c r="F2" s="95"/>
      <c r="G2" s="222" t="s">
        <v>70</v>
      </c>
      <c r="H2" s="223" t="s">
        <v>69</v>
      </c>
    </row>
    <row r="3" spans="1:10" s="13" customFormat="1" ht="31.5">
      <c r="A3" s="1860" t="s">
        <v>14</v>
      </c>
      <c r="B3" s="1862" t="s">
        <v>2</v>
      </c>
      <c r="C3" s="1862" t="s">
        <v>20</v>
      </c>
      <c r="D3" s="219" t="s">
        <v>98</v>
      </c>
      <c r="E3" s="219" t="s">
        <v>100</v>
      </c>
      <c r="F3" s="220" t="s">
        <v>100</v>
      </c>
      <c r="G3" s="229" t="s">
        <v>68</v>
      </c>
      <c r="H3" s="224" t="s">
        <v>72</v>
      </c>
      <c r="I3" s="13">
        <v>10000</v>
      </c>
    </row>
    <row r="4" spans="1:10" s="13" customFormat="1" ht="15.75">
      <c r="A4" s="1861"/>
      <c r="B4" s="1863"/>
      <c r="C4" s="1863"/>
      <c r="D4" s="820" t="s">
        <v>99</v>
      </c>
      <c r="E4" s="820" t="s">
        <v>101</v>
      </c>
      <c r="F4" s="221" t="s">
        <v>102</v>
      </c>
      <c r="G4" s="345">
        <v>8</v>
      </c>
      <c r="H4" s="415" t="e">
        <f>SUM(H5:H11)</f>
        <v>#REF!</v>
      </c>
    </row>
    <row r="5" spans="1:10" s="19" customFormat="1" ht="15.75">
      <c r="A5" s="34">
        <v>1</v>
      </c>
      <c r="B5" s="35" t="s">
        <v>52</v>
      </c>
      <c r="C5" s="17" t="str">
        <f>Gia_Dcu!C6</f>
        <v>Cái</v>
      </c>
      <c r="D5" s="17">
        <f>Gia_Dcu!D6</f>
        <v>24</v>
      </c>
      <c r="E5" s="18">
        <f>Gia_Dcu!E6</f>
        <v>13500</v>
      </c>
      <c r="F5" s="346">
        <f>Gia_Dcu!F6</f>
        <v>21.634615384615383</v>
      </c>
      <c r="G5" s="230" t="e">
        <f>D28/5</f>
        <v>#REF!</v>
      </c>
      <c r="H5" s="416" t="e">
        <f t="shared" ref="H5:H10" si="0">$F5*G5</f>
        <v>#REF!</v>
      </c>
    </row>
    <row r="6" spans="1:10" s="19" customFormat="1" ht="15.75">
      <c r="A6" s="34">
        <v>2</v>
      </c>
      <c r="B6" s="35" t="s">
        <v>53</v>
      </c>
      <c r="C6" s="17" t="str">
        <f>Gia_Dcu!C7</f>
        <v>Cái</v>
      </c>
      <c r="D6" s="17">
        <f>Gia_Dcu!D7</f>
        <v>60</v>
      </c>
      <c r="E6" s="18">
        <f>Gia_Dcu!E7</f>
        <v>1500000</v>
      </c>
      <c r="F6" s="346">
        <f>Gia_Dcu!F7</f>
        <v>961.53846153846155</v>
      </c>
      <c r="G6" s="230" t="e">
        <f>D28/3</f>
        <v>#REF!</v>
      </c>
      <c r="H6" s="416" t="e">
        <f t="shared" si="0"/>
        <v>#REF!</v>
      </c>
    </row>
    <row r="7" spans="1:10" s="19" customFormat="1" ht="15.75">
      <c r="A7" s="34">
        <v>3</v>
      </c>
      <c r="B7" s="35" t="s">
        <v>54</v>
      </c>
      <c r="C7" s="17" t="str">
        <f>Gia_Dcu!C8</f>
        <v>Cái</v>
      </c>
      <c r="D7" s="17">
        <f>Gia_Dcu!D8</f>
        <v>96</v>
      </c>
      <c r="E7" s="18">
        <f>Gia_Dcu!E8</f>
        <v>360000</v>
      </c>
      <c r="F7" s="346">
        <f>Gia_Dcu!F8</f>
        <v>144.23076923076923</v>
      </c>
      <c r="G7" s="230" t="e">
        <f>D28</f>
        <v>#REF!</v>
      </c>
      <c r="H7" s="416" t="e">
        <f>$F7*G7</f>
        <v>#REF!</v>
      </c>
    </row>
    <row r="8" spans="1:10" s="19" customFormat="1" ht="15.75">
      <c r="A8" s="34">
        <v>4</v>
      </c>
      <c r="B8" s="35" t="s">
        <v>27</v>
      </c>
      <c r="C8" s="17" t="str">
        <f>Gia_Dcu!C9</f>
        <v>Cái</v>
      </c>
      <c r="D8" s="17">
        <f>Gia_Dcu!D9</f>
        <v>96</v>
      </c>
      <c r="E8" s="18">
        <f>Gia_Dcu!E9</f>
        <v>754000</v>
      </c>
      <c r="F8" s="346">
        <f>Gia_Dcu!F9</f>
        <v>302.08333333333337</v>
      </c>
      <c r="G8" s="230" t="e">
        <f>D28</f>
        <v>#REF!</v>
      </c>
      <c r="H8" s="416" t="e">
        <f t="shared" si="0"/>
        <v>#REF!</v>
      </c>
    </row>
    <row r="9" spans="1:10" s="19" customFormat="1" ht="15.75">
      <c r="A9" s="34">
        <v>5</v>
      </c>
      <c r="B9" s="35" t="s">
        <v>55</v>
      </c>
      <c r="C9" s="17" t="str">
        <f>Gia_Dcu!C10</f>
        <v>Cái</v>
      </c>
      <c r="D9" s="17">
        <f>Gia_Dcu!D10</f>
        <v>96</v>
      </c>
      <c r="E9" s="18">
        <f>Gia_Dcu!E10</f>
        <v>870000</v>
      </c>
      <c r="F9" s="346">
        <f>Gia_Dcu!F10</f>
        <v>348.55769230769232</v>
      </c>
      <c r="G9" s="230" t="e">
        <f>D28/4</f>
        <v>#REF!</v>
      </c>
      <c r="H9" s="416" t="e">
        <f t="shared" si="0"/>
        <v>#REF!</v>
      </c>
    </row>
    <row r="10" spans="1:10" s="19" customFormat="1" ht="15.75">
      <c r="A10" s="34">
        <v>6</v>
      </c>
      <c r="B10" s="35" t="s">
        <v>56</v>
      </c>
      <c r="C10" s="17" t="str">
        <f>Gia_Dcu!C11</f>
        <v>Cái</v>
      </c>
      <c r="D10" s="17">
        <f>Gia_Dcu!D11</f>
        <v>24</v>
      </c>
      <c r="E10" s="18">
        <f>Gia_Dcu!E11</f>
        <v>65000</v>
      </c>
      <c r="F10" s="346">
        <f>Gia_Dcu!F11</f>
        <v>104.16666666666667</v>
      </c>
      <c r="G10" s="230" t="e">
        <f>D28</f>
        <v>#REF!</v>
      </c>
      <c r="H10" s="416" t="e">
        <f t="shared" si="0"/>
        <v>#REF!</v>
      </c>
    </row>
    <row r="11" spans="1:10" s="19" customFormat="1" ht="15.75">
      <c r="A11" s="51">
        <v>7</v>
      </c>
      <c r="B11" s="52" t="s">
        <v>58</v>
      </c>
      <c r="C11" s="53" t="str">
        <f>Gia_Dcu!C12</f>
        <v>Cái</v>
      </c>
      <c r="D11" s="139">
        <v>1.05</v>
      </c>
      <c r="E11" s="54">
        <f>Gia_Dcu!E12</f>
        <v>1686</v>
      </c>
      <c r="F11" s="85">
        <f>Gia_Dcu!F12</f>
        <v>13488</v>
      </c>
      <c r="G11" s="231" t="e">
        <f>(G9*0.1+G10*0.04)*G$4</f>
        <v>#REF!</v>
      </c>
      <c r="H11" s="417" t="e">
        <f>$F11*G11*D11</f>
        <v>#REF!</v>
      </c>
    </row>
    <row r="13" spans="1:10" s="12" customFormat="1" ht="31.5">
      <c r="A13" s="819" t="s">
        <v>14</v>
      </c>
      <c r="B13" s="819" t="s">
        <v>133</v>
      </c>
      <c r="C13" s="819" t="s">
        <v>20</v>
      </c>
      <c r="D13" s="819" t="s">
        <v>110</v>
      </c>
      <c r="E13" s="819" t="s">
        <v>28</v>
      </c>
      <c r="F13" s="819" t="s">
        <v>19</v>
      </c>
      <c r="G13" s="887"/>
      <c r="H13" s="316"/>
    </row>
    <row r="14" spans="1:10" ht="31.5">
      <c r="A14" s="412">
        <f>'DK thuong xuyen'!A10</f>
        <v>1</v>
      </c>
      <c r="B14" s="413" t="str">
        <f>'DK thuong xuyen'!B10</f>
        <v>Chỉnh lý hình thể thửa đất vào dữ liệu không gian địa chính của CSDL</v>
      </c>
      <c r="C14" s="412" t="str">
        <f>'DK thuong xuyen'!C10</f>
        <v>Thửa</v>
      </c>
      <c r="D14" s="237" t="e">
        <f>'DK thuong xuyen'!G10</f>
        <v>#REF!</v>
      </c>
      <c r="E14" s="344" t="e">
        <f>D14/$D$28</f>
        <v>#REF!</v>
      </c>
      <c r="F14" s="414" t="e">
        <f>E14*$H$4</f>
        <v>#REF!</v>
      </c>
      <c r="G14" s="434"/>
      <c r="H14" s="238"/>
      <c r="J14" s="410" t="e">
        <f>D14*8000</f>
        <v>#REF!</v>
      </c>
    </row>
    <row r="15" spans="1:10" ht="31.5">
      <c r="A15" s="412">
        <f>'DK thuong xuyen'!A11</f>
        <v>2</v>
      </c>
      <c r="B15" s="413" t="str">
        <f>'DK thuong xuyen'!B11</f>
        <v>Cập nhật thông tin biến động về thuộc tính địa chính của thửa đất</v>
      </c>
      <c r="C15" s="412"/>
      <c r="D15" s="237"/>
      <c r="E15" s="344"/>
      <c r="F15" s="414"/>
      <c r="G15" s="434"/>
      <c r="H15" s="238"/>
      <c r="J15" s="410"/>
    </row>
    <row r="16" spans="1:10" ht="15.75">
      <c r="A16" s="236" t="str">
        <f>'DK thuong xuyen'!A12</f>
        <v>2.1</v>
      </c>
      <c r="B16" s="391" t="str">
        <f>'DK thuong xuyen'!B12</f>
        <v>Đăng ký đất đai, tài sản gắn liền với đất lần đâu</v>
      </c>
      <c r="C16" s="236" t="str">
        <f>'DK thuong xuyen'!C12</f>
        <v>Thửa</v>
      </c>
      <c r="D16" s="237">
        <f>'DK thuong xuyen'!G12</f>
        <v>0.14235</v>
      </c>
      <c r="E16" s="344" t="e">
        <f t="shared" ref="E16:E22" si="1">D16/$D$28</f>
        <v>#REF!</v>
      </c>
      <c r="F16" s="414" t="e">
        <f t="shared" ref="F16:F27" si="2">E16*$H$4</f>
        <v>#REF!</v>
      </c>
      <c r="G16" s="434"/>
      <c r="H16" s="238"/>
      <c r="J16" s="410"/>
    </row>
    <row r="17" spans="1:10" ht="15.75">
      <c r="A17" s="236" t="str">
        <f>'DK thuong xuyen'!A13</f>
        <v>2.2</v>
      </c>
      <c r="B17" s="391" t="str">
        <f>'DK thuong xuyen'!B13</f>
        <v>Đăng ký thế chấp</v>
      </c>
      <c r="C17" s="236" t="str">
        <f>'DK thuong xuyen'!C13</f>
        <v>Thửa</v>
      </c>
      <c r="D17" s="237">
        <f>'DK thuong xuyen'!G13</f>
        <v>9.2836956521739136E-3</v>
      </c>
      <c r="E17" s="344" t="e">
        <f t="shared" si="1"/>
        <v>#REF!</v>
      </c>
      <c r="F17" s="414" t="e">
        <f t="shared" si="2"/>
        <v>#REF!</v>
      </c>
      <c r="G17" s="434"/>
      <c r="H17" s="238"/>
      <c r="J17" s="410"/>
    </row>
    <row r="18" spans="1:10" ht="15.75">
      <c r="A18" s="236" t="str">
        <f>'DK thuong xuyen'!A14</f>
        <v>2.3</v>
      </c>
      <c r="B18" s="391" t="str">
        <f>'DK thuong xuyen'!B14</f>
        <v>Chuyển quyền sử dụng toàn bộ thửa đất</v>
      </c>
      <c r="C18" s="236" t="str">
        <f>'DK thuong xuyen'!C14</f>
        <v>Thửa</v>
      </c>
      <c r="D18" s="237">
        <f>'DK thuong xuyen'!G14</f>
        <v>0.11449891304347827</v>
      </c>
      <c r="E18" s="344" t="e">
        <f t="shared" si="1"/>
        <v>#REF!</v>
      </c>
      <c r="F18" s="414" t="e">
        <f t="shared" si="2"/>
        <v>#REF!</v>
      </c>
      <c r="G18" s="434"/>
      <c r="H18" s="238"/>
      <c r="J18" s="410">
        <f>D18*8000</f>
        <v>915.99130434782614</v>
      </c>
    </row>
    <row r="19" spans="1:10" ht="15.75">
      <c r="A19" s="236" t="str">
        <f>'DK thuong xuyen'!A15</f>
        <v>2.4</v>
      </c>
      <c r="B19" s="391" t="str">
        <f>'DK thuong xuyen'!B15</f>
        <v>Chuyển quyền sử dụng một phần thửa đất</v>
      </c>
      <c r="C19" s="236" t="str">
        <f>'DK thuong xuyen'!C15</f>
        <v>Thửa</v>
      </c>
      <c r="D19" s="237">
        <f>'DK thuong xuyen'!G15</f>
        <v>0.12378260869565218</v>
      </c>
      <c r="E19" s="344" t="e">
        <f t="shared" si="1"/>
        <v>#REF!</v>
      </c>
      <c r="F19" s="414" t="e">
        <f t="shared" si="2"/>
        <v>#REF!</v>
      </c>
      <c r="G19" s="434"/>
      <c r="H19" s="238"/>
      <c r="J19" s="410"/>
    </row>
    <row r="20" spans="1:10" ht="15.75">
      <c r="A20" s="236" t="str">
        <f>'DK thuong xuyen'!A16</f>
        <v>2.5</v>
      </c>
      <c r="B20" s="391" t="str">
        <f>'DK thuong xuyen'!B16</f>
        <v>Chỉnh lý hình thể thửa đất vào dữ liệu không gian địa chính của CSDL</v>
      </c>
      <c r="C20" s="236" t="str">
        <f>'DK thuong xuyen'!C16</f>
        <v>Thửa</v>
      </c>
      <c r="D20" s="237">
        <f>'DK thuong xuyen'!G16</f>
        <v>0.11449891304347827</v>
      </c>
      <c r="E20" s="344" t="e">
        <f t="shared" si="1"/>
        <v>#REF!</v>
      </c>
      <c r="F20" s="414" t="e">
        <f t="shared" si="2"/>
        <v>#REF!</v>
      </c>
      <c r="G20" s="434"/>
      <c r="H20" s="238"/>
      <c r="J20" s="410"/>
    </row>
    <row r="21" spans="1:10" ht="38.25" customHeight="1">
      <c r="A21" s="236" t="str">
        <f>'DK thuong xuyen'!A17</f>
        <v>2.6</v>
      </c>
      <c r="B21" s="391" t="str">
        <f>'DK thuong xuyen'!B17</f>
        <v>Cấp đổi, cấp lại GCN</v>
      </c>
      <c r="C21" s="236" t="str">
        <f>'DK thuong xuyen'!C17</f>
        <v>Thửa</v>
      </c>
      <c r="D21" s="237">
        <f>'DK thuong xuyen'!G17</f>
        <v>5.2607608695652175E-2</v>
      </c>
      <c r="E21" s="344" t="e">
        <f t="shared" si="1"/>
        <v>#REF!</v>
      </c>
      <c r="F21" s="414" t="e">
        <f t="shared" si="2"/>
        <v>#REF!</v>
      </c>
      <c r="G21" s="434"/>
      <c r="H21" s="238"/>
      <c r="J21" s="410">
        <f>D21*8000</f>
        <v>420.8608695652174</v>
      </c>
    </row>
    <row r="22" spans="1:10" ht="36" customHeight="1">
      <c r="A22" s="236" t="str">
        <f>'DK thuong xuyen'!A18</f>
        <v>2.7</v>
      </c>
      <c r="B22" s="391" t="str">
        <f>'DK thuong xuyen'!B18</f>
        <v>Các thay đổi khác</v>
      </c>
      <c r="C22" s="236" t="str">
        <f>'DK thuong xuyen'!C18</f>
        <v>Thửa</v>
      </c>
      <c r="D22" s="237">
        <f>'DK thuong xuyen'!G18</f>
        <v>7.7364130434782602E-2</v>
      </c>
      <c r="E22" s="344" t="e">
        <f t="shared" si="1"/>
        <v>#REF!</v>
      </c>
      <c r="F22" s="414" t="e">
        <f t="shared" si="2"/>
        <v>#REF!</v>
      </c>
      <c r="G22" s="434"/>
      <c r="H22" s="238"/>
      <c r="J22" s="410">
        <f>D22*8000</f>
        <v>618.91304347826076</v>
      </c>
    </row>
    <row r="23" spans="1:10" ht="47.25">
      <c r="A23" s="412">
        <f>'DK thuong xuyen'!A19</f>
        <v>3</v>
      </c>
      <c r="B23" s="413" t="str">
        <f>'DK thuong xuyen'!B19</f>
        <v>Quét (chụp) giấy tờ pháp lý về quyền sử dụng đất và bản đồ, sơ đồ, bản trích đo địa chính đối với trường hợp đăng ký bổ sung lần đầu, đăng ký biến động (nếu có)</v>
      </c>
      <c r="C23" s="412"/>
      <c r="D23" s="237"/>
      <c r="E23" s="344"/>
      <c r="F23" s="414"/>
      <c r="G23" s="434"/>
      <c r="H23" s="238"/>
      <c r="J23" s="410"/>
    </row>
    <row r="24" spans="1:10" ht="15.75">
      <c r="A24" s="236" t="str">
        <f>'DK thuong xuyen'!A20</f>
        <v>3.1</v>
      </c>
      <c r="B24" s="391" t="e">
        <f>'DK thuong xuyen'!B20</f>
        <v>#REF!</v>
      </c>
      <c r="C24" s="236" t="e">
        <f>'DK thuong xuyen'!C20</f>
        <v>#REF!</v>
      </c>
      <c r="D24" s="237" t="e">
        <f>'DK thuong xuyen'!G20</f>
        <v>#REF!</v>
      </c>
      <c r="E24" s="344" t="e">
        <f>D24/$D$28*2</f>
        <v>#REF!</v>
      </c>
      <c r="F24" s="414" t="e">
        <f t="shared" si="2"/>
        <v>#REF!</v>
      </c>
      <c r="G24" s="434"/>
      <c r="H24" s="238"/>
      <c r="J24" s="410"/>
    </row>
    <row r="25" spans="1:10" ht="15.75">
      <c r="A25" s="236" t="str">
        <f>'DK thuong xuyen'!A21</f>
        <v>3.2</v>
      </c>
      <c r="B25" s="391" t="e">
        <f>'DK thuong xuyen'!B21</f>
        <v>#REF!</v>
      </c>
      <c r="C25" s="236" t="e">
        <f>'DK thuong xuyen'!C21</f>
        <v>#REF!</v>
      </c>
      <c r="D25" s="237" t="e">
        <f>'DK thuong xuyen'!G21</f>
        <v>#REF!</v>
      </c>
      <c r="E25" s="344" t="e">
        <f>D25/$D$28*2</f>
        <v>#REF!</v>
      </c>
      <c r="F25" s="414" t="e">
        <f t="shared" si="2"/>
        <v>#REF!</v>
      </c>
      <c r="G25" s="434"/>
      <c r="H25" s="238"/>
      <c r="J25" s="410"/>
    </row>
    <row r="26" spans="1:10" ht="15.75">
      <c r="A26" s="236" t="str">
        <f>'DK thuong xuyen'!A22</f>
        <v>3.3</v>
      </c>
      <c r="B26" s="391" t="e">
        <f>'DK thuong xuyen'!B22</f>
        <v>#REF!</v>
      </c>
      <c r="C26" s="236" t="e">
        <f>'DK thuong xuyen'!C22</f>
        <v>#REF!</v>
      </c>
      <c r="D26" s="237" t="e">
        <f>'DK thuong xuyen'!G22</f>
        <v>#REF!</v>
      </c>
      <c r="E26" s="344" t="e">
        <f>D26/$D$28*3</f>
        <v>#REF!</v>
      </c>
      <c r="F26" s="414" t="e">
        <f t="shared" si="2"/>
        <v>#REF!</v>
      </c>
      <c r="G26" s="434"/>
      <c r="H26" s="238"/>
      <c r="J26" s="410" t="e">
        <f>D26*8000</f>
        <v>#REF!</v>
      </c>
    </row>
    <row r="27" spans="1:10" ht="15.75">
      <c r="A27" s="236" t="str">
        <f>'DK thuong xuyen'!A23</f>
        <v>3.4</v>
      </c>
      <c r="B27" s="391" t="e">
        <f>'DK thuong xuyen'!B23</f>
        <v>#REF!</v>
      </c>
      <c r="C27" s="236" t="e">
        <f>'DK thuong xuyen'!C23</f>
        <v>#REF!</v>
      </c>
      <c r="D27" s="237" t="e">
        <f>'DK thuong xuyen'!G23</f>
        <v>#REF!</v>
      </c>
      <c r="E27" s="344" t="e">
        <f>D27/$D$28*3</f>
        <v>#REF!</v>
      </c>
      <c r="F27" s="414" t="e">
        <f t="shared" si="2"/>
        <v>#REF!</v>
      </c>
      <c r="G27" s="436"/>
      <c r="H27" s="223"/>
    </row>
    <row r="28" spans="1:10" ht="15.75">
      <c r="A28" s="30"/>
      <c r="B28" s="5"/>
      <c r="C28" s="30"/>
      <c r="D28" s="347" t="e">
        <f>D14+D16+D17+D18+D19+D20+D21+D22+D24*2+D25*2+D26*3+D27*3</f>
        <v>#REF!</v>
      </c>
      <c r="E28" s="889" t="e">
        <f>SUM(E14:E27)</f>
        <v>#REF!</v>
      </c>
      <c r="F28" s="418" t="e">
        <f>SUM(F14:F27)</f>
        <v>#REF!</v>
      </c>
      <c r="G28" s="888"/>
      <c r="H28" s="223" t="e">
        <f>F28*8000</f>
        <v>#REF!</v>
      </c>
    </row>
  </sheetData>
  <mergeCells count="4">
    <mergeCell ref="A1:H1"/>
    <mergeCell ref="A3:A4"/>
    <mergeCell ref="B3:B4"/>
    <mergeCell ref="C3:C4"/>
  </mergeCells>
  <printOptions horizontalCentered="1"/>
  <pageMargins left="0.5" right="0.5" top="0.5" bottom="0.5" header="0.5" footer="0.25"/>
  <pageSetup orientation="landscape"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31"/>
  <sheetViews>
    <sheetView workbookViewId="0">
      <selection activeCell="B12" sqref="B12"/>
    </sheetView>
  </sheetViews>
  <sheetFormatPr defaultColWidth="9" defaultRowHeight="15"/>
  <cols>
    <col min="1" max="1" width="7.875" style="986" customWidth="1"/>
    <col min="2" max="2" width="44.375" style="963" customWidth="1"/>
    <col min="3" max="3" width="7.375" style="986" hidden="1" customWidth="1"/>
    <col min="4" max="4" width="12.75" style="963" customWidth="1"/>
    <col min="5" max="5" width="13.625" style="963" bestFit="1" customWidth="1"/>
    <col min="6" max="6" width="12.375" style="989" hidden="1" customWidth="1"/>
    <col min="7" max="7" width="9" style="990" customWidth="1"/>
    <col min="8" max="8" width="14.25" style="991" customWidth="1"/>
    <col min="9" max="9" width="11.25" style="963" hidden="1" customWidth="1"/>
    <col min="10" max="10" width="9" style="963" customWidth="1"/>
    <col min="11" max="11" width="10" style="963" bestFit="1" customWidth="1"/>
    <col min="12" max="12" width="10.875" style="963" bestFit="1" customWidth="1"/>
    <col min="13" max="16384" width="9" style="963"/>
  </cols>
  <sheetData>
    <row r="1" spans="1:13" ht="15.75">
      <c r="A1" s="1872" t="s">
        <v>88</v>
      </c>
      <c r="B1" s="1872"/>
      <c r="C1" s="1872"/>
      <c r="D1" s="1872"/>
      <c r="E1" s="1872"/>
      <c r="F1" s="1872"/>
      <c r="G1" s="1872"/>
      <c r="H1" s="1872"/>
    </row>
    <row r="2" spans="1:13" ht="16.5" thickBot="1">
      <c r="A2" s="929"/>
      <c r="B2" s="488"/>
      <c r="C2" s="929"/>
      <c r="D2" s="488"/>
      <c r="E2" s="488"/>
      <c r="F2" s="964"/>
      <c r="G2" s="965" t="s">
        <v>70</v>
      </c>
      <c r="H2" s="966" t="s">
        <v>69</v>
      </c>
    </row>
    <row r="3" spans="1:13" s="967" customFormat="1" ht="31.5">
      <c r="A3" s="1873" t="s">
        <v>14</v>
      </c>
      <c r="B3" s="1873" t="s">
        <v>3</v>
      </c>
      <c r="C3" s="1873" t="s">
        <v>20</v>
      </c>
      <c r="D3" s="358" t="s">
        <v>18</v>
      </c>
      <c r="E3" s="359" t="s">
        <v>17</v>
      </c>
      <c r="F3" s="360" t="s">
        <v>19</v>
      </c>
      <c r="G3" s="353" t="s">
        <v>68</v>
      </c>
      <c r="H3" s="320" t="s">
        <v>72</v>
      </c>
      <c r="L3" s="967">
        <v>8000</v>
      </c>
    </row>
    <row r="4" spans="1:13" s="967" customFormat="1" ht="15.75">
      <c r="A4" s="1873"/>
      <c r="B4" s="1873"/>
      <c r="C4" s="1873"/>
      <c r="D4" s="819" t="s">
        <v>101</v>
      </c>
      <c r="E4" s="819"/>
      <c r="F4" s="360" t="s">
        <v>163</v>
      </c>
      <c r="G4" s="354">
        <v>8</v>
      </c>
      <c r="H4" s="321"/>
    </row>
    <row r="5" spans="1:13" s="969" customFormat="1" ht="15.75">
      <c r="A5" s="968">
        <v>1</v>
      </c>
      <c r="B5" s="362"/>
      <c r="C5" s="80"/>
      <c r="D5" s="363"/>
      <c r="E5" s="364"/>
      <c r="F5" s="365">
        <f>SUM(F6:F13)</f>
        <v>593.125</v>
      </c>
      <c r="G5" s="355"/>
      <c r="H5" s="322">
        <f>SUM(H6:H12)*105%</f>
        <v>2085.5625</v>
      </c>
      <c r="J5" s="963">
        <v>2</v>
      </c>
      <c r="L5" s="970">
        <f>F5*8000</f>
        <v>4745000</v>
      </c>
      <c r="M5" s="970"/>
    </row>
    <row r="6" spans="1:13" ht="15.75">
      <c r="A6" s="316">
        <v>1</v>
      </c>
      <c r="B6" s="366" t="s">
        <v>77</v>
      </c>
      <c r="C6" s="971" t="s">
        <v>171</v>
      </c>
      <c r="D6" s="972">
        <v>40000</v>
      </c>
      <c r="E6" s="973">
        <f t="shared" ref="E6:E13" si="0">L6/8000</f>
        <v>1.8749999999999999E-3</v>
      </c>
      <c r="F6" s="974">
        <f t="shared" ref="F6:F13" si="1">D6*E6</f>
        <v>75</v>
      </c>
      <c r="G6" s="975">
        <v>4</v>
      </c>
      <c r="H6" s="976">
        <f>$F6*G6</f>
        <v>300</v>
      </c>
      <c r="J6" s="963">
        <v>3</v>
      </c>
      <c r="L6" s="977">
        <v>15</v>
      </c>
    </row>
    <row r="7" spans="1:13" ht="15.75">
      <c r="A7" s="316">
        <v>2</v>
      </c>
      <c r="B7" s="366" t="s">
        <v>78</v>
      </c>
      <c r="C7" s="971" t="s">
        <v>172</v>
      </c>
      <c r="D7" s="972">
        <v>550000</v>
      </c>
      <c r="E7" s="973">
        <f t="shared" si="0"/>
        <v>5.0000000000000001E-4</v>
      </c>
      <c r="F7" s="974">
        <f t="shared" si="1"/>
        <v>275</v>
      </c>
      <c r="G7" s="975">
        <v>4</v>
      </c>
      <c r="H7" s="976">
        <f t="shared" ref="H7:H12" si="2">$F7*G7</f>
        <v>1100</v>
      </c>
      <c r="J7" s="963">
        <v>4</v>
      </c>
      <c r="L7" s="977">
        <v>4</v>
      </c>
    </row>
    <row r="8" spans="1:13" ht="15.75">
      <c r="A8" s="316">
        <v>3</v>
      </c>
      <c r="B8" s="366" t="s">
        <v>80</v>
      </c>
      <c r="C8" s="971" t="s">
        <v>173</v>
      </c>
      <c r="D8" s="972">
        <v>30000</v>
      </c>
      <c r="E8" s="973">
        <f t="shared" si="0"/>
        <v>1.8749999999999999E-3</v>
      </c>
      <c r="F8" s="974">
        <f t="shared" si="1"/>
        <v>56.25</v>
      </c>
      <c r="G8" s="975">
        <v>1</v>
      </c>
      <c r="H8" s="976">
        <f t="shared" si="2"/>
        <v>56.25</v>
      </c>
      <c r="J8" s="963">
        <v>6</v>
      </c>
      <c r="L8" s="977">
        <v>15</v>
      </c>
    </row>
    <row r="9" spans="1:13" ht="15.75">
      <c r="A9" s="316">
        <v>4</v>
      </c>
      <c r="B9" s="366" t="s">
        <v>21</v>
      </c>
      <c r="C9" s="971" t="s">
        <v>130</v>
      </c>
      <c r="D9" s="972">
        <v>1500</v>
      </c>
      <c r="E9" s="973">
        <f t="shared" si="0"/>
        <v>6.2500000000000003E-3</v>
      </c>
      <c r="F9" s="974">
        <f t="shared" si="1"/>
        <v>9.375</v>
      </c>
      <c r="G9" s="975">
        <v>4</v>
      </c>
      <c r="H9" s="976">
        <f t="shared" si="2"/>
        <v>37.5</v>
      </c>
      <c r="J9" s="963">
        <v>7</v>
      </c>
      <c r="L9" s="977">
        <v>50</v>
      </c>
    </row>
    <row r="10" spans="1:13" ht="15.75">
      <c r="A10" s="316">
        <v>5</v>
      </c>
      <c r="B10" s="366" t="s">
        <v>83</v>
      </c>
      <c r="C10" s="971" t="s">
        <v>130</v>
      </c>
      <c r="D10" s="972">
        <v>15000</v>
      </c>
      <c r="E10" s="973">
        <f t="shared" si="0"/>
        <v>1.8749999999999999E-3</v>
      </c>
      <c r="F10" s="974">
        <f t="shared" si="1"/>
        <v>28.125</v>
      </c>
      <c r="G10" s="975">
        <v>4</v>
      </c>
      <c r="H10" s="976">
        <f t="shared" si="2"/>
        <v>112.5</v>
      </c>
      <c r="J10" s="963">
        <v>9</v>
      </c>
      <c r="L10" s="977">
        <v>15</v>
      </c>
    </row>
    <row r="11" spans="1:13" ht="15.75">
      <c r="A11" s="316">
        <v>6</v>
      </c>
      <c r="B11" s="366" t="s">
        <v>84</v>
      </c>
      <c r="C11" s="971" t="s">
        <v>172</v>
      </c>
      <c r="D11" s="972">
        <v>20000</v>
      </c>
      <c r="E11" s="973">
        <f t="shared" si="0"/>
        <v>2.5000000000000001E-3</v>
      </c>
      <c r="F11" s="974">
        <f t="shared" si="1"/>
        <v>50</v>
      </c>
      <c r="G11" s="975">
        <v>4</v>
      </c>
      <c r="H11" s="976">
        <f t="shared" si="2"/>
        <v>200</v>
      </c>
      <c r="J11" s="963">
        <v>10</v>
      </c>
      <c r="L11" s="977">
        <v>20</v>
      </c>
    </row>
    <row r="12" spans="1:13" ht="15.75">
      <c r="A12" s="316">
        <v>7</v>
      </c>
      <c r="B12" s="366" t="s">
        <v>85</v>
      </c>
      <c r="C12" s="971" t="s">
        <v>172</v>
      </c>
      <c r="D12" s="972">
        <v>18000</v>
      </c>
      <c r="E12" s="973">
        <f t="shared" si="0"/>
        <v>2.5000000000000001E-3</v>
      </c>
      <c r="F12" s="974">
        <f t="shared" si="1"/>
        <v>45</v>
      </c>
      <c r="G12" s="975">
        <v>4</v>
      </c>
      <c r="H12" s="976">
        <f t="shared" si="2"/>
        <v>180</v>
      </c>
      <c r="J12" s="963">
        <v>11</v>
      </c>
      <c r="L12" s="977">
        <v>20</v>
      </c>
    </row>
    <row r="13" spans="1:13" ht="15.75">
      <c r="A13" s="316">
        <v>8</v>
      </c>
      <c r="B13" s="366" t="s">
        <v>87</v>
      </c>
      <c r="C13" s="971" t="s">
        <v>130</v>
      </c>
      <c r="D13" s="972">
        <v>14500</v>
      </c>
      <c r="E13" s="973">
        <f t="shared" si="0"/>
        <v>3.7499999999999999E-3</v>
      </c>
      <c r="F13" s="974">
        <f t="shared" si="1"/>
        <v>54.375</v>
      </c>
      <c r="G13" s="978">
        <f>(G10*0.1+G11*0.04)*G$4</f>
        <v>4.4800000000000004</v>
      </c>
      <c r="H13" s="979">
        <f>$F13*G13*D13</f>
        <v>3532200.0000000005</v>
      </c>
      <c r="J13" s="963">
        <v>13</v>
      </c>
      <c r="L13" s="977">
        <v>30</v>
      </c>
    </row>
    <row r="14" spans="1:13" ht="15.75">
      <c r="A14" s="543"/>
      <c r="B14" s="544"/>
      <c r="C14" s="980"/>
      <c r="D14" s="981"/>
      <c r="E14" s="982"/>
      <c r="F14" s="983"/>
      <c r="G14" s="984"/>
      <c r="H14" s="985"/>
      <c r="L14" s="977"/>
    </row>
    <row r="15" spans="1:13" ht="15.75" thickBot="1">
      <c r="D15" s="2007" t="s">
        <v>651</v>
      </c>
      <c r="E15" s="2008"/>
      <c r="F15" s="2008"/>
      <c r="G15" s="2007" t="s">
        <v>653</v>
      </c>
      <c r="H15" s="2007"/>
      <c r="I15" s="2007"/>
      <c r="K15" s="2006"/>
      <c r="L15" s="2006"/>
      <c r="M15" s="2006"/>
    </row>
    <row r="16" spans="1:13" ht="31.5">
      <c r="A16" s="227" t="s">
        <v>14</v>
      </c>
      <c r="B16" s="227" t="s">
        <v>133</v>
      </c>
      <c r="C16" s="227" t="s">
        <v>636</v>
      </c>
      <c r="D16" s="228" t="s">
        <v>110</v>
      </c>
      <c r="E16" s="228" t="s">
        <v>28</v>
      </c>
      <c r="F16" s="227" t="s">
        <v>19</v>
      </c>
      <c r="G16" s="228" t="s">
        <v>110</v>
      </c>
      <c r="H16" s="228" t="s">
        <v>28</v>
      </c>
      <c r="I16" s="227" t="s">
        <v>19</v>
      </c>
      <c r="J16" s="488"/>
      <c r="K16" s="563"/>
      <c r="L16" s="563"/>
      <c r="M16" s="562"/>
    </row>
    <row r="17" spans="1:13" ht="31.5">
      <c r="A17" s="312" t="str">
        <f>'DK bo sung'!A6</f>
        <v>I</v>
      </c>
      <c r="B17" s="829" t="str">
        <f>'DK bo sung'!B6</f>
        <v xml:space="preserve">Thực hiện đăng ký bổ sung cho những thửa đất chưa đăng ký </v>
      </c>
      <c r="C17" s="942"/>
      <c r="D17" s="916"/>
      <c r="E17" s="917"/>
      <c r="F17" s="906">
        <f>SUM(F19:F21)</f>
        <v>1396245.2919020718</v>
      </c>
      <c r="G17" s="916"/>
      <c r="H17" s="916"/>
      <c r="I17" s="906">
        <f t="shared" ref="I17" si="3">SUM(I19:I21)</f>
        <v>1237826.0869565215</v>
      </c>
      <c r="J17" s="488"/>
      <c r="K17" s="564"/>
      <c r="L17" s="565"/>
      <c r="M17" s="564"/>
    </row>
    <row r="18" spans="1:13" ht="15.75">
      <c r="A18" s="309">
        <f>'DK bo sung'!A7</f>
        <v>1</v>
      </c>
      <c r="B18" s="825" t="str">
        <f>'DK bo sung'!B7</f>
        <v>Công việc chuẩn bị, tiếp nhận hồ sơ  tính cho cả xã</v>
      </c>
      <c r="C18" s="943"/>
      <c r="D18" s="910"/>
      <c r="E18" s="918"/>
      <c r="F18" s="907"/>
      <c r="G18" s="910"/>
      <c r="H18" s="918"/>
      <c r="I18" s="907"/>
      <c r="J18" s="488"/>
      <c r="K18" s="566"/>
      <c r="L18" s="567"/>
      <c r="M18" s="566"/>
    </row>
    <row r="19" spans="1:13" ht="31.5">
      <c r="A19" s="309"/>
      <c r="B19" s="825" t="str">
        <f>'DK bo sung'!B8</f>
        <v>Chuẩn bị địa điểm, các tài liệu, bản đồ, mẫu đơn đề nghị cấp GCN, danh sách cấp mới GCN</v>
      </c>
      <c r="C19" s="943" t="s">
        <v>637</v>
      </c>
      <c r="D19" s="910">
        <f>30/8000</f>
        <v>3.7499999999999999E-3</v>
      </c>
      <c r="E19" s="944">
        <f>(D19/$D$30)</f>
        <v>2.8248587570621472E-2</v>
      </c>
      <c r="F19" s="907">
        <f>E19*$F$5*10000</f>
        <v>167549.43502824861</v>
      </c>
      <c r="G19" s="910">
        <f>30/5000</f>
        <v>6.0000000000000001E-3</v>
      </c>
      <c r="H19" s="918">
        <f>G19/$G$30</f>
        <v>2.6086956521739126E-2</v>
      </c>
      <c r="I19" s="907">
        <f>H19*$F$5*8000</f>
        <v>123782.60869565215</v>
      </c>
      <c r="J19" s="488"/>
      <c r="K19" s="566"/>
      <c r="L19" s="567"/>
      <c r="M19" s="568"/>
    </row>
    <row r="20" spans="1:13" ht="31.5">
      <c r="A20" s="309"/>
      <c r="B20" s="825" t="str">
        <f>'DK bo sung'!B9</f>
        <v>Phổ biến tuyên truyền chủ trương, chính sách về cấp GCN</v>
      </c>
      <c r="C20" s="943" t="s">
        <v>637</v>
      </c>
      <c r="D20" s="910">
        <f>20/8000</f>
        <v>2.5000000000000001E-3</v>
      </c>
      <c r="E20" s="944">
        <f>(D20/$D$30)</f>
        <v>1.8832391713747648E-2</v>
      </c>
      <c r="F20" s="907">
        <f>E20*$F$5*10000</f>
        <v>111699.62335216574</v>
      </c>
      <c r="G20" s="910">
        <f>20/5000</f>
        <v>4.0000000000000001E-3</v>
      </c>
      <c r="H20" s="918">
        <f>G20/$G$30</f>
        <v>1.7391304347826084E-2</v>
      </c>
      <c r="I20" s="907">
        <f>H20*$F$5*8000</f>
        <v>82521.739130434769</v>
      </c>
      <c r="J20" s="488"/>
      <c r="K20" s="566"/>
      <c r="L20" s="567"/>
      <c r="M20" s="568"/>
    </row>
    <row r="21" spans="1:13" ht="33" customHeight="1">
      <c r="A21" s="309"/>
      <c r="B21" s="825" t="str">
        <f>'DK bo sung'!B10</f>
        <v>Hướng dẫn lập hồ sơ đề nghị cấp giấy</v>
      </c>
      <c r="C21" s="943" t="s">
        <v>637</v>
      </c>
      <c r="D21" s="910">
        <f>200/8000</f>
        <v>2.5000000000000001E-2</v>
      </c>
      <c r="E21" s="944">
        <f>(D21/$D$30)</f>
        <v>0.18832391713747651</v>
      </c>
      <c r="F21" s="907">
        <f>E21*$F$5*10000</f>
        <v>1116996.2335216575</v>
      </c>
      <c r="G21" s="910">
        <f>250/5000</f>
        <v>0.05</v>
      </c>
      <c r="H21" s="918">
        <f>G21/$G$30</f>
        <v>0.21739130434782605</v>
      </c>
      <c r="I21" s="907">
        <f>H21*$F$5*8000</f>
        <v>1031521.7391304346</v>
      </c>
      <c r="J21" s="488"/>
      <c r="K21" s="566"/>
      <c r="L21" s="567"/>
      <c r="M21" s="568"/>
    </row>
    <row r="22" spans="1:13" ht="15.75" customHeight="1">
      <c r="A22" s="839">
        <f>'DK bo sung'!A11</f>
        <v>2</v>
      </c>
      <c r="B22" s="839" t="str">
        <f>'DK bo sung'!B11</f>
        <v xml:space="preserve">Thẩm tra, xác nhận, chuyển hồ sơ cho cấp huyện đối với các thửa đất đăng ký sử dụng </v>
      </c>
      <c r="C22" s="943"/>
      <c r="D22" s="910"/>
      <c r="E22" s="944"/>
      <c r="F22" s="908">
        <f>SUM(F23:F25)</f>
        <v>226.7502354048965</v>
      </c>
      <c r="G22" s="908"/>
      <c r="H22" s="908"/>
      <c r="I22" s="908">
        <f>SUM(I23:I25)</f>
        <v>219.19836956521735</v>
      </c>
      <c r="J22" s="488"/>
      <c r="K22" s="566"/>
      <c r="L22" s="567"/>
      <c r="M22" s="568"/>
    </row>
    <row r="23" spans="1:13" ht="15.75">
      <c r="A23" s="309" t="str">
        <f>'DK bo sung'!A12</f>
        <v>2.1</v>
      </c>
      <c r="B23" s="825" t="str">
        <f>'DK bo sung'!B12</f>
        <v>Lập danh sách và công bố công khai kết quả kiểm tra</v>
      </c>
      <c r="C23" s="943" t="s">
        <v>637</v>
      </c>
      <c r="D23" s="910">
        <f>100/8000</f>
        <v>1.2500000000000001E-2</v>
      </c>
      <c r="E23" s="944">
        <f>(D23/$D$30)</f>
        <v>9.4161958568738255E-2</v>
      </c>
      <c r="F23" s="909">
        <f t="shared" ref="F23:F29" si="4">E23*$F$5</f>
        <v>55.849811676082879</v>
      </c>
      <c r="G23" s="910">
        <f>65/5000</f>
        <v>1.2999999999999999E-2</v>
      </c>
      <c r="H23" s="918">
        <f>G23/$G$30</f>
        <v>5.6521739130434769E-2</v>
      </c>
      <c r="I23" s="987">
        <f>H23*$F$5</f>
        <v>33.524456521739125</v>
      </c>
      <c r="J23" s="488"/>
      <c r="K23" s="566"/>
      <c r="L23" s="567"/>
      <c r="M23" s="568"/>
    </row>
    <row r="24" spans="1:13" ht="31.5">
      <c r="A24" s="309" t="str">
        <f>'DK bo sung'!A13</f>
        <v>2.2</v>
      </c>
      <c r="B24" s="825" t="str">
        <f>'DK bo sung'!B13</f>
        <v>Nhận các ý kiến góp ý, xem xét các ý kiến góp ý, trả lời ý kiến góp ý (10% số hồ sơ phải trả lời)</v>
      </c>
      <c r="C24" s="943" t="s">
        <v>637</v>
      </c>
      <c r="D24" s="910">
        <f>(60/8000)*0.1</f>
        <v>7.5000000000000002E-4</v>
      </c>
      <c r="E24" s="944">
        <f>(D24/$D$30)</f>
        <v>5.6497175141242946E-3</v>
      </c>
      <c r="F24" s="909">
        <f t="shared" si="4"/>
        <v>3.3509887005649723</v>
      </c>
      <c r="G24" s="910">
        <f>60/5000</f>
        <v>1.2E-2</v>
      </c>
      <c r="H24" s="918">
        <f>G24/$G$30</f>
        <v>5.2173913043478251E-2</v>
      </c>
      <c r="I24" s="987">
        <f>H24*$F$5</f>
        <v>30.945652173913036</v>
      </c>
      <c r="J24" s="488"/>
      <c r="K24" s="566"/>
      <c r="L24" s="567"/>
      <c r="M24" s="568"/>
    </row>
    <row r="25" spans="1:13" ht="47.25">
      <c r="A25" s="309" t="str">
        <f>'DK bo sung'!A14</f>
        <v>2.3</v>
      </c>
      <c r="B25" s="825" t="str">
        <f>'DK bo sung'!B14</f>
        <v>Hoàn thiện hồ sơ đối với các trường hợp có ý kiến góp ý, xác nhận vào đơn đề nghị cấp GCN; chuyển hồ sơ cho VPĐK</v>
      </c>
      <c r="C25" s="943" t="s">
        <v>637</v>
      </c>
      <c r="D25" s="910">
        <f>300/8000</f>
        <v>3.7499999999999999E-2</v>
      </c>
      <c r="E25" s="944">
        <f>(D25/$D$30)</f>
        <v>0.28248587570621475</v>
      </c>
      <c r="F25" s="909">
        <f t="shared" si="4"/>
        <v>167.54943502824864</v>
      </c>
      <c r="G25" s="910">
        <f>300/5000</f>
        <v>0.06</v>
      </c>
      <c r="H25" s="918">
        <f>G25/$G$30</f>
        <v>0.26086956521739124</v>
      </c>
      <c r="I25" s="987">
        <f>H25*$F$5</f>
        <v>154.72826086956519</v>
      </c>
      <c r="J25" s="488"/>
      <c r="K25" s="566"/>
      <c r="L25" s="567"/>
      <c r="M25" s="568"/>
    </row>
    <row r="26" spans="1:13" ht="15.75">
      <c r="A26" s="309">
        <f>'DK bo sung'!A15</f>
        <v>3</v>
      </c>
      <c r="B26" s="825" t="str">
        <f>'DK bo sung'!B15</f>
        <v>Đăng ký các thửa đất được giao quản lý</v>
      </c>
      <c r="C26" s="943"/>
      <c r="D26" s="910"/>
      <c r="E26" s="944"/>
      <c r="F26" s="909"/>
      <c r="G26" s="910"/>
      <c r="H26" s="918"/>
      <c r="I26" s="987"/>
      <c r="J26" s="488"/>
      <c r="K26" s="566"/>
      <c r="L26" s="567"/>
      <c r="M26" s="568"/>
    </row>
    <row r="27" spans="1:13" ht="32.25" customHeight="1">
      <c r="A27" s="309" t="str">
        <f>'DK bo sung'!A16</f>
        <v>3.1</v>
      </c>
      <c r="B27" s="825" t="str">
        <f>'DK bo sung'!B16</f>
        <v>Lập danh sách và công bố công khai kết quả kiểm tra</v>
      </c>
      <c r="C27" s="943" t="s">
        <v>637</v>
      </c>
      <c r="D27" s="910">
        <f>100/8000</f>
        <v>1.2500000000000001E-2</v>
      </c>
      <c r="E27" s="944">
        <f>(D27/$D$30)</f>
        <v>9.4161958568738255E-2</v>
      </c>
      <c r="F27" s="909">
        <f t="shared" si="4"/>
        <v>55.849811676082879</v>
      </c>
      <c r="G27" s="910">
        <f>65/5000</f>
        <v>1.2999999999999999E-2</v>
      </c>
      <c r="H27" s="918">
        <f>G27/$G$30</f>
        <v>5.6521739130434769E-2</v>
      </c>
      <c r="I27" s="987">
        <f>H27*$F$5</f>
        <v>33.524456521739125</v>
      </c>
      <c r="J27" s="488"/>
      <c r="K27" s="566"/>
      <c r="L27" s="567"/>
      <c r="M27" s="568"/>
    </row>
    <row r="28" spans="1:13" ht="31.5">
      <c r="A28" s="309" t="str">
        <f>'DK bo sung'!A17</f>
        <v>3.2</v>
      </c>
      <c r="B28" s="825" t="str">
        <f>'DK bo sung'!B17</f>
        <v>Nhận các ý kiến góp ý, xem xét các ý kiến góp ý, trả lời ý kiến góp ý (10% số hồ sơ phải trả lời)</v>
      </c>
      <c r="C28" s="943" t="s">
        <v>637</v>
      </c>
      <c r="D28" s="910">
        <f>(60/8000)*0.1</f>
        <v>7.5000000000000002E-4</v>
      </c>
      <c r="E28" s="944">
        <f>(D28/$D$30)</f>
        <v>5.6497175141242946E-3</v>
      </c>
      <c r="F28" s="909">
        <f t="shared" si="4"/>
        <v>3.3509887005649723</v>
      </c>
      <c r="G28" s="910">
        <f>60/5000</f>
        <v>1.2E-2</v>
      </c>
      <c r="H28" s="918">
        <f>G28/$G$30</f>
        <v>5.2173913043478251E-2</v>
      </c>
      <c r="I28" s="987">
        <f>H28*$F$5</f>
        <v>30.945652173913036</v>
      </c>
      <c r="J28" s="488"/>
      <c r="K28" s="566"/>
      <c r="L28" s="567"/>
      <c r="M28" s="568"/>
    </row>
    <row r="29" spans="1:13" ht="31.5">
      <c r="A29" s="309" t="str">
        <f>'DK bo sung'!A18</f>
        <v>3.3</v>
      </c>
      <c r="B29" s="825" t="str">
        <f>'DK bo sung'!B18</f>
        <v>Xác nhận vào đơn đề nghị cấp GCN; chuyển hồ sơ cho VPĐK</v>
      </c>
      <c r="C29" s="943" t="s">
        <v>637</v>
      </c>
      <c r="D29" s="910">
        <f>300/8000</f>
        <v>3.7499999999999999E-2</v>
      </c>
      <c r="E29" s="944">
        <f>(D29/$D$30)</f>
        <v>0.28248587570621475</v>
      </c>
      <c r="F29" s="909">
        <f t="shared" si="4"/>
        <v>167.54943502824864</v>
      </c>
      <c r="G29" s="910">
        <f>300/5000</f>
        <v>0.06</v>
      </c>
      <c r="H29" s="918">
        <f>G29/$G$30</f>
        <v>0.26086956521739124</v>
      </c>
      <c r="I29" s="987">
        <f>H29*$F$5</f>
        <v>154.72826086956519</v>
      </c>
      <c r="J29" s="488"/>
      <c r="K29" s="566"/>
      <c r="L29" s="567"/>
      <c r="M29" s="568"/>
    </row>
    <row r="30" spans="1:13" ht="15.75">
      <c r="A30" s="309"/>
      <c r="B30" s="825"/>
      <c r="C30" s="943"/>
      <c r="D30" s="916">
        <f>SUM(D17:D29)</f>
        <v>0.13274999999999998</v>
      </c>
      <c r="E30" s="916">
        <f>SUM(E17:E29)</f>
        <v>1.0000000000000002</v>
      </c>
      <c r="F30" s="908">
        <f>SUM(F19:F29)</f>
        <v>1396925.5426082867</v>
      </c>
      <c r="G30" s="916">
        <f>SUM(G18:G29)</f>
        <v>0.23000000000000004</v>
      </c>
      <c r="H30" s="917">
        <f>SUM(H19:H29)</f>
        <v>0.99999999999999989</v>
      </c>
      <c r="I30" s="908">
        <f>SUM(I19:I29)</f>
        <v>1238483.6820652171</v>
      </c>
      <c r="J30" s="988"/>
      <c r="K30" s="564"/>
      <c r="L30" s="565"/>
      <c r="M30" s="569"/>
    </row>
    <row r="31" spans="1:13" ht="63">
      <c r="A31" s="309">
        <f>'DK bo sung'!A19</f>
        <v>4</v>
      </c>
      <c r="B31" s="825" t="str">
        <f>'DK bo sung'!B19</f>
        <v>Trường hợp nhiều thửa đất lập chung trong 1 hồ sơ đăng ký  thì ngoài mức được tính ở trên, các thửa đất tăng thêm được tính mức bằng 0,30 lần định mức quy định trên đối với các bước công việc 2.2, 2.3)</v>
      </c>
      <c r="C31" s="943" t="s">
        <v>637</v>
      </c>
      <c r="D31" s="910"/>
      <c r="E31" s="918"/>
      <c r="F31" s="910"/>
      <c r="G31" s="910"/>
      <c r="H31" s="918"/>
      <c r="I31" s="488"/>
      <c r="J31" s="488"/>
      <c r="K31" s="566"/>
      <c r="L31" s="567"/>
      <c r="M31" s="566"/>
    </row>
  </sheetData>
  <mergeCells count="7">
    <mergeCell ref="K15:M15"/>
    <mergeCell ref="G15:I15"/>
    <mergeCell ref="A1:H1"/>
    <mergeCell ref="A3:A4"/>
    <mergeCell ref="B3:B4"/>
    <mergeCell ref="C3:C4"/>
    <mergeCell ref="D15:F1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31"/>
  <sheetViews>
    <sheetView topLeftCell="A16" zoomScale="85" zoomScaleNormal="85" workbookViewId="0">
      <selection activeCell="B12" sqref="B12"/>
    </sheetView>
  </sheetViews>
  <sheetFormatPr defaultColWidth="9" defaultRowHeight="15.75"/>
  <cols>
    <col min="1" max="1" width="7.875" style="883" customWidth="1"/>
    <col min="2" max="2" width="48.625" style="340" customWidth="1"/>
    <col min="3" max="3" width="5.75" style="884" bestFit="1" customWidth="1"/>
    <col min="4" max="4" width="8.625" style="340" customWidth="1"/>
    <col min="5" max="5" width="9.25" style="340" customWidth="1"/>
    <col min="6" max="6" width="12.375" style="885" hidden="1" customWidth="1"/>
    <col min="7" max="7" width="7.75" style="885" hidden="1" customWidth="1"/>
    <col min="8" max="8" width="9.25" style="886" bestFit="1" customWidth="1"/>
    <col min="9" max="9" width="14.125" style="341" hidden="1" customWidth="1"/>
    <col min="10" max="10" width="11.875" style="442" hidden="1" customWidth="1"/>
    <col min="11" max="11" width="11.375" style="442" hidden="1" customWidth="1"/>
    <col min="12" max="12" width="9.25" style="886" bestFit="1" customWidth="1"/>
    <col min="13" max="13" width="11.125" style="341" hidden="1" customWidth="1"/>
    <col min="14" max="14" width="11.375" style="442" hidden="1" customWidth="1"/>
    <col min="15" max="15" width="13.375" style="442" hidden="1" customWidth="1"/>
    <col min="16" max="16" width="11.375" style="340" bestFit="1" customWidth="1"/>
    <col min="17" max="16384" width="9" style="340"/>
  </cols>
  <sheetData>
    <row r="1" spans="1:15">
      <c r="A1" s="2005" t="s">
        <v>22</v>
      </c>
      <c r="B1" s="2005"/>
      <c r="C1" s="2005"/>
      <c r="D1" s="2005"/>
      <c r="E1" s="2005"/>
      <c r="F1" s="2005"/>
      <c r="G1" s="2005"/>
      <c r="H1" s="2005"/>
      <c r="I1" s="2005"/>
      <c r="L1" s="442"/>
      <c r="M1" s="442"/>
    </row>
    <row r="2" spans="1:15">
      <c r="A2" s="851"/>
      <c r="B2" s="290"/>
      <c r="C2" s="852"/>
      <c r="D2" s="290"/>
      <c r="E2" s="290"/>
      <c r="F2" s="853"/>
      <c r="G2" s="854"/>
      <c r="H2" s="2009" t="s">
        <v>651</v>
      </c>
      <c r="I2" s="2010"/>
      <c r="J2" s="2010"/>
      <c r="K2" s="2010"/>
      <c r="L2" s="2009" t="s">
        <v>653</v>
      </c>
      <c r="M2" s="2010"/>
      <c r="N2" s="2010"/>
      <c r="O2" s="2010"/>
    </row>
    <row r="3" spans="1:15" s="857" customFormat="1" ht="62.25" customHeight="1">
      <c r="A3" s="328" t="s">
        <v>14</v>
      </c>
      <c r="B3" s="275" t="s">
        <v>16</v>
      </c>
      <c r="C3" s="275" t="s">
        <v>20</v>
      </c>
      <c r="D3" s="275" t="s">
        <v>4</v>
      </c>
      <c r="E3" s="275" t="s">
        <v>5</v>
      </c>
      <c r="F3" s="553" t="s">
        <v>18</v>
      </c>
      <c r="G3" s="553" t="s">
        <v>0</v>
      </c>
      <c r="H3" s="945" t="s">
        <v>17</v>
      </c>
      <c r="I3" s="946" t="s">
        <v>72</v>
      </c>
      <c r="J3" s="946" t="s">
        <v>164</v>
      </c>
      <c r="K3" s="946" t="s">
        <v>165</v>
      </c>
      <c r="L3" s="945" t="s">
        <v>17</v>
      </c>
      <c r="M3" s="946" t="s">
        <v>72</v>
      </c>
      <c r="N3" s="946" t="s">
        <v>660</v>
      </c>
      <c r="O3" s="946" t="s">
        <v>165</v>
      </c>
    </row>
    <row r="4" spans="1:15" s="857" customFormat="1" ht="62.25" customHeight="1">
      <c r="A4" s="328"/>
      <c r="B4" s="275"/>
      <c r="C4" s="275"/>
      <c r="D4" s="275"/>
      <c r="E4" s="275"/>
      <c r="F4" s="553"/>
      <c r="G4" s="553"/>
      <c r="H4" s="945"/>
      <c r="I4" s="946">
        <f>I6+I10+I14</f>
        <v>200100</v>
      </c>
      <c r="J4" s="947">
        <f>J6+J10+J14</f>
        <v>200100</v>
      </c>
      <c r="K4" s="947">
        <f>K9+K13+K17</f>
        <v>611761.728</v>
      </c>
      <c r="L4" s="947"/>
      <c r="M4" s="947">
        <f t="shared" ref="M4:N4" si="0">M6+M10+M14</f>
        <v>200200</v>
      </c>
      <c r="N4" s="947">
        <f t="shared" si="0"/>
        <v>200200</v>
      </c>
      <c r="O4" s="946">
        <f>O9+O13+O17</f>
        <v>612067.45600000001</v>
      </c>
    </row>
    <row r="5" spans="1:15" s="857" customFormat="1">
      <c r="A5" s="328">
        <v>1</v>
      </c>
      <c r="B5" s="554" t="str">
        <f>'DK bo sung'!B7</f>
        <v>Công việc chuẩn bị, tiếp nhận hồ sơ  tính cho cả xã</v>
      </c>
      <c r="C5" s="275"/>
      <c r="D5" s="275"/>
      <c r="E5" s="275"/>
      <c r="F5" s="553"/>
      <c r="G5" s="553"/>
      <c r="H5" s="945"/>
      <c r="I5" s="947"/>
      <c r="J5" s="946">
        <v>1</v>
      </c>
      <c r="K5" s="946"/>
      <c r="L5" s="945"/>
      <c r="M5" s="946"/>
      <c r="N5" s="946">
        <v>1</v>
      </c>
      <c r="O5" s="946"/>
    </row>
    <row r="6" spans="1:15" s="864" customFormat="1" ht="19.5" customHeight="1">
      <c r="A6" s="948">
        <v>1</v>
      </c>
      <c r="B6" s="949" t="str">
        <f>'DK bo sung'!B8</f>
        <v>Chuẩn bị địa điểm, các tài liệu, bản đồ, mẫu đơn đề nghị cấp GCN, danh sách cấp mới GCN</v>
      </c>
      <c r="C6" s="275"/>
      <c r="D6" s="557"/>
      <c r="E6" s="950"/>
      <c r="F6" s="278"/>
      <c r="G6" s="278"/>
      <c r="H6" s="951"/>
      <c r="I6" s="952">
        <f>SUM(I7:I8)</f>
        <v>120000</v>
      </c>
      <c r="J6" s="592">
        <f>I6</f>
        <v>120000</v>
      </c>
      <c r="K6" s="592"/>
      <c r="L6" s="951"/>
      <c r="M6" s="952">
        <f>SUM(M7:M8)</f>
        <v>120000</v>
      </c>
      <c r="N6" s="592">
        <f>M6</f>
        <v>120000</v>
      </c>
      <c r="O6" s="592"/>
    </row>
    <row r="7" spans="1:15">
      <c r="A7" s="330"/>
      <c r="B7" s="281" t="s">
        <v>73</v>
      </c>
      <c r="C7" s="280" t="s">
        <v>130</v>
      </c>
      <c r="D7" s="280">
        <f>Gia_Tbi!D4</f>
        <v>0.4</v>
      </c>
      <c r="E7" s="280">
        <v>5</v>
      </c>
      <c r="F7" s="953">
        <f>Gia_Tbi!F4</f>
        <v>10000000</v>
      </c>
      <c r="G7" s="954">
        <f>Gia_Tbi!G4</f>
        <v>4000</v>
      </c>
      <c r="H7" s="955">
        <f>30*80%</f>
        <v>24</v>
      </c>
      <c r="I7" s="956">
        <f>$G7*H7</f>
        <v>96000</v>
      </c>
      <c r="J7" s="592"/>
      <c r="K7" s="592"/>
      <c r="L7" s="955">
        <f>30*80%</f>
        <v>24</v>
      </c>
      <c r="M7" s="956">
        <f>$G7*L7</f>
        <v>96000</v>
      </c>
      <c r="N7" s="592"/>
      <c r="O7" s="592"/>
    </row>
    <row r="8" spans="1:15">
      <c r="A8" s="330"/>
      <c r="B8" s="281" t="s">
        <v>24</v>
      </c>
      <c r="C8" s="280" t="s">
        <v>130</v>
      </c>
      <c r="D8" s="280">
        <f>Gia_Tbi!D6</f>
        <v>2.2000000000000002</v>
      </c>
      <c r="E8" s="280">
        <v>10</v>
      </c>
      <c r="F8" s="953">
        <f>Gia_Tbi!F6</f>
        <v>12000000</v>
      </c>
      <c r="G8" s="954">
        <f>Gia_Tbi!G6</f>
        <v>3000</v>
      </c>
      <c r="H8" s="955">
        <f>H7/3</f>
        <v>8</v>
      </c>
      <c r="I8" s="956">
        <f>$G8*H8</f>
        <v>24000</v>
      </c>
      <c r="J8" s="592"/>
      <c r="K8" s="592"/>
      <c r="L8" s="955">
        <f>L7/3</f>
        <v>8</v>
      </c>
      <c r="M8" s="956">
        <f>$G8*L8</f>
        <v>24000</v>
      </c>
      <c r="N8" s="592"/>
      <c r="O8" s="592"/>
    </row>
    <row r="9" spans="1:15">
      <c r="A9" s="330"/>
      <c r="B9" s="281" t="s">
        <v>8</v>
      </c>
      <c r="C9" s="280" t="s">
        <v>147</v>
      </c>
      <c r="D9" s="280">
        <v>0</v>
      </c>
      <c r="E9" s="555">
        <v>1</v>
      </c>
      <c r="F9" s="953">
        <f>Gia_Tbi!F13</f>
        <v>1686</v>
      </c>
      <c r="G9" s="954">
        <f>Gia_Tbi!G13</f>
        <v>13488</v>
      </c>
      <c r="H9" s="955">
        <f>(H7*D7+H8*D8)</f>
        <v>27.200000000000003</v>
      </c>
      <c r="I9" s="956">
        <f>$G9*H9</f>
        <v>366873.60000000003</v>
      </c>
      <c r="J9" s="592"/>
      <c r="K9" s="592">
        <f>I9</f>
        <v>366873.60000000003</v>
      </c>
      <c r="L9" s="955">
        <f>(L7*D7+L8*D8)</f>
        <v>27.200000000000003</v>
      </c>
      <c r="M9" s="956">
        <f>$G9*L9</f>
        <v>366873.60000000003</v>
      </c>
      <c r="N9" s="592"/>
      <c r="O9" s="592">
        <f>M9</f>
        <v>366873.60000000003</v>
      </c>
    </row>
    <row r="10" spans="1:15" s="279" customFormat="1" ht="16.5" customHeight="1">
      <c r="A10" s="329">
        <v>2</v>
      </c>
      <c r="B10" s="556" t="str">
        <f>'DK bo sung'!B9</f>
        <v>Phổ biến tuyên truyền chủ trương, chính sách về cấp GCN</v>
      </c>
      <c r="C10" s="275"/>
      <c r="D10" s="557"/>
      <c r="E10" s="276"/>
      <c r="F10" s="277"/>
      <c r="G10" s="278"/>
      <c r="H10" s="951"/>
      <c r="I10" s="952">
        <f>SUM(I11:I12)</f>
        <v>80000</v>
      </c>
      <c r="J10" s="592">
        <f>I10</f>
        <v>80000</v>
      </c>
      <c r="K10" s="592"/>
      <c r="L10" s="951"/>
      <c r="M10" s="952">
        <f>SUM(M11:M12)</f>
        <v>80000</v>
      </c>
      <c r="N10" s="592">
        <f>M10</f>
        <v>80000</v>
      </c>
      <c r="O10" s="592"/>
    </row>
    <row r="11" spans="1:15">
      <c r="A11" s="330"/>
      <c r="B11" s="281" t="s">
        <v>73</v>
      </c>
      <c r="C11" s="280" t="str">
        <f>C7</f>
        <v>Cái</v>
      </c>
      <c r="D11" s="280">
        <f>D7</f>
        <v>0.4</v>
      </c>
      <c r="E11" s="280">
        <f>E7</f>
        <v>5</v>
      </c>
      <c r="F11" s="558">
        <f>F7</f>
        <v>10000000</v>
      </c>
      <c r="G11" s="558">
        <f>G7</f>
        <v>4000</v>
      </c>
      <c r="H11" s="955">
        <f>20*80%</f>
        <v>16</v>
      </c>
      <c r="I11" s="956">
        <f>$G11*H11</f>
        <v>64000</v>
      </c>
      <c r="J11" s="592"/>
      <c r="K11" s="592"/>
      <c r="L11" s="955">
        <f>20*80%</f>
        <v>16</v>
      </c>
      <c r="M11" s="956">
        <f>$G11*L11</f>
        <v>64000</v>
      </c>
      <c r="N11" s="592"/>
      <c r="O11" s="592"/>
    </row>
    <row r="12" spans="1:15">
      <c r="A12" s="330"/>
      <c r="B12" s="281" t="s">
        <v>24</v>
      </c>
      <c r="C12" s="280" t="str">
        <f t="shared" ref="C12:G13" si="1">C8</f>
        <v>Cái</v>
      </c>
      <c r="D12" s="280">
        <f>D8</f>
        <v>2.2000000000000002</v>
      </c>
      <c r="E12" s="280">
        <f t="shared" si="1"/>
        <v>10</v>
      </c>
      <c r="F12" s="558">
        <f t="shared" si="1"/>
        <v>12000000</v>
      </c>
      <c r="G12" s="558">
        <f t="shared" si="1"/>
        <v>3000</v>
      </c>
      <c r="H12" s="955">
        <f>H11/3</f>
        <v>5.333333333333333</v>
      </c>
      <c r="I12" s="956">
        <f>$G12*H12</f>
        <v>16000</v>
      </c>
      <c r="J12" s="592"/>
      <c r="K12" s="592"/>
      <c r="L12" s="955">
        <f>L11/3</f>
        <v>5.333333333333333</v>
      </c>
      <c r="M12" s="956">
        <f>$G12*L12</f>
        <v>16000</v>
      </c>
      <c r="N12" s="592"/>
      <c r="O12" s="592"/>
    </row>
    <row r="13" spans="1:15">
      <c r="A13" s="330"/>
      <c r="B13" s="281" t="s">
        <v>8</v>
      </c>
      <c r="C13" s="280" t="str">
        <f t="shared" si="1"/>
        <v>kW</v>
      </c>
      <c r="D13" s="280">
        <f t="shared" si="1"/>
        <v>0</v>
      </c>
      <c r="E13" s="280">
        <f t="shared" si="1"/>
        <v>1</v>
      </c>
      <c r="F13" s="558">
        <f t="shared" si="1"/>
        <v>1686</v>
      </c>
      <c r="G13" s="558">
        <f t="shared" si="1"/>
        <v>13488</v>
      </c>
      <c r="H13" s="955">
        <f>(H11*D11+H12*D12)</f>
        <v>18.133333333333333</v>
      </c>
      <c r="I13" s="956">
        <f>$G13*H13</f>
        <v>244582.39999999999</v>
      </c>
      <c r="J13" s="592"/>
      <c r="K13" s="592">
        <f>I13</f>
        <v>244582.39999999999</v>
      </c>
      <c r="L13" s="955">
        <f>(L11*D11+L12*D12)</f>
        <v>18.133333333333333</v>
      </c>
      <c r="M13" s="956">
        <f>$G13*L13</f>
        <v>244582.39999999999</v>
      </c>
      <c r="N13" s="592"/>
      <c r="O13" s="592">
        <f>M13</f>
        <v>244582.39999999999</v>
      </c>
    </row>
    <row r="14" spans="1:15" s="442" customFormat="1">
      <c r="A14" s="329">
        <v>3</v>
      </c>
      <c r="B14" s="288" t="str">
        <f>'DK bo sung'!B10</f>
        <v>Hướng dẫn lập hồ sơ đề nghị cấp giấy</v>
      </c>
      <c r="C14" s="825"/>
      <c r="D14" s="557"/>
      <c r="E14" s="276"/>
      <c r="F14" s="277"/>
      <c r="G14" s="278"/>
      <c r="H14" s="951"/>
      <c r="I14" s="952">
        <f>SUM(I15:I16)</f>
        <v>100.00000000000001</v>
      </c>
      <c r="J14" s="592">
        <f>I14*J5</f>
        <v>100.00000000000001</v>
      </c>
      <c r="K14" s="592"/>
      <c r="L14" s="951"/>
      <c r="M14" s="952">
        <f>SUM(M15:M16)</f>
        <v>200.00000000000003</v>
      </c>
      <c r="N14" s="592">
        <f>M14*N5</f>
        <v>200.00000000000003</v>
      </c>
      <c r="O14" s="592"/>
    </row>
    <row r="15" spans="1:15">
      <c r="A15" s="330"/>
      <c r="B15" s="281" t="s">
        <v>73</v>
      </c>
      <c r="C15" s="280" t="s">
        <v>130</v>
      </c>
      <c r="D15" s="280">
        <f>D7</f>
        <v>0.4</v>
      </c>
      <c r="E15" s="280">
        <v>5</v>
      </c>
      <c r="F15" s="953">
        <f>F7</f>
        <v>10000000</v>
      </c>
      <c r="G15" s="954">
        <f>G11</f>
        <v>4000</v>
      </c>
      <c r="H15" s="955">
        <f>(200/8000)*80%</f>
        <v>2.0000000000000004E-2</v>
      </c>
      <c r="I15" s="956">
        <f>$G15*H15</f>
        <v>80.000000000000014</v>
      </c>
      <c r="J15" s="592"/>
      <c r="K15" s="592"/>
      <c r="L15" s="955">
        <f>(250/5000)*80%</f>
        <v>4.0000000000000008E-2</v>
      </c>
      <c r="M15" s="956">
        <f>$G15*L15</f>
        <v>160.00000000000003</v>
      </c>
      <c r="N15" s="592"/>
      <c r="O15" s="592"/>
    </row>
    <row r="16" spans="1:15">
      <c r="A16" s="330"/>
      <c r="B16" s="281" t="s">
        <v>24</v>
      </c>
      <c r="C16" s="280" t="s">
        <v>130</v>
      </c>
      <c r="D16" s="280">
        <f t="shared" ref="D16:D17" si="2">D8</f>
        <v>2.2000000000000002</v>
      </c>
      <c r="E16" s="280">
        <v>10</v>
      </c>
      <c r="F16" s="953">
        <f t="shared" ref="F16:F17" si="3">F8</f>
        <v>12000000</v>
      </c>
      <c r="G16" s="954">
        <f t="shared" ref="G16:G17" si="4">G12</f>
        <v>3000</v>
      </c>
      <c r="H16" s="955">
        <f>H15/3</f>
        <v>6.666666666666668E-3</v>
      </c>
      <c r="I16" s="956">
        <f>$G16*H16</f>
        <v>20.000000000000004</v>
      </c>
      <c r="J16" s="592"/>
      <c r="K16" s="592"/>
      <c r="L16" s="955">
        <f>L15/3</f>
        <v>1.3333333333333336E-2</v>
      </c>
      <c r="M16" s="956">
        <f>$G16*L16</f>
        <v>40.000000000000007</v>
      </c>
      <c r="N16" s="592"/>
      <c r="O16" s="592"/>
    </row>
    <row r="17" spans="1:15">
      <c r="A17" s="330"/>
      <c r="B17" s="281" t="s">
        <v>8</v>
      </c>
      <c r="C17" s="280" t="s">
        <v>147</v>
      </c>
      <c r="D17" s="280">
        <f t="shared" si="2"/>
        <v>0</v>
      </c>
      <c r="E17" s="555">
        <v>1</v>
      </c>
      <c r="F17" s="953">
        <f t="shared" si="3"/>
        <v>1686</v>
      </c>
      <c r="G17" s="954">
        <f t="shared" si="4"/>
        <v>13488</v>
      </c>
      <c r="H17" s="955">
        <f>(H15*D15+H16*D16)</f>
        <v>2.2666666666666672E-2</v>
      </c>
      <c r="I17" s="956">
        <f>$G17*H17</f>
        <v>305.72800000000007</v>
      </c>
      <c r="J17" s="592"/>
      <c r="K17" s="592">
        <f>I17*J5</f>
        <v>305.72800000000007</v>
      </c>
      <c r="L17" s="955">
        <f>(L15*D15+L16*D16)</f>
        <v>4.5333333333333344E-2</v>
      </c>
      <c r="M17" s="956">
        <f>$G17*L17</f>
        <v>611.45600000000013</v>
      </c>
      <c r="N17" s="592"/>
      <c r="O17" s="592">
        <f>M17*N5</f>
        <v>611.45600000000013</v>
      </c>
    </row>
    <row r="18" spans="1:15" ht="31.5">
      <c r="A18" s="328">
        <v>2</v>
      </c>
      <c r="B18" s="559" t="s">
        <v>641</v>
      </c>
      <c r="C18" s="280"/>
      <c r="D18" s="280"/>
      <c r="E18" s="555"/>
      <c r="F18" s="953"/>
      <c r="G18" s="954"/>
      <c r="H18" s="955"/>
      <c r="I18" s="952">
        <f>I19+I23+I27</f>
        <v>203</v>
      </c>
      <c r="J18" s="952">
        <f>J19+J23+J27</f>
        <v>203</v>
      </c>
      <c r="K18" s="952">
        <f>K22+K26+K30</f>
        <v>620.62784000000011</v>
      </c>
      <c r="L18" s="952"/>
      <c r="M18" s="952">
        <f>M19+M23+M27</f>
        <v>296.8</v>
      </c>
      <c r="N18" s="952">
        <f>N19+N23+N27</f>
        <v>296.8</v>
      </c>
      <c r="O18" s="592">
        <f>O22+O26+O30</f>
        <v>907.40070400000002</v>
      </c>
    </row>
    <row r="19" spans="1:15" s="442" customFormat="1">
      <c r="A19" s="329" t="s">
        <v>119</v>
      </c>
      <c r="B19" s="560" t="str">
        <f>'DK bo sung'!B12</f>
        <v>Lập danh sách và công bố công khai kết quả kiểm tra</v>
      </c>
      <c r="C19" s="825"/>
      <c r="D19" s="557"/>
      <c r="E19" s="276"/>
      <c r="F19" s="277"/>
      <c r="G19" s="278"/>
      <c r="H19" s="951"/>
      <c r="I19" s="952">
        <f>SUM(I20:I21)</f>
        <v>50.000000000000007</v>
      </c>
      <c r="J19" s="592">
        <f>I19*J5</f>
        <v>50.000000000000007</v>
      </c>
      <c r="K19" s="592"/>
      <c r="L19" s="951"/>
      <c r="M19" s="952">
        <f>SUM(M20:M21)</f>
        <v>52</v>
      </c>
      <c r="N19" s="592">
        <f>M19*N5</f>
        <v>52</v>
      </c>
      <c r="O19" s="592"/>
    </row>
    <row r="20" spans="1:15">
      <c r="A20" s="330"/>
      <c r="B20" s="281" t="s">
        <v>73</v>
      </c>
      <c r="C20" s="280" t="s">
        <v>130</v>
      </c>
      <c r="D20" s="280">
        <f>D15</f>
        <v>0.4</v>
      </c>
      <c r="E20" s="280">
        <f t="shared" ref="E20:G20" si="5">E15</f>
        <v>5</v>
      </c>
      <c r="F20" s="280">
        <f t="shared" si="5"/>
        <v>10000000</v>
      </c>
      <c r="G20" s="280">
        <f t="shared" si="5"/>
        <v>4000</v>
      </c>
      <c r="H20" s="955">
        <f>(100/8000)*80%</f>
        <v>1.0000000000000002E-2</v>
      </c>
      <c r="I20" s="956">
        <f>$G20*H20</f>
        <v>40.000000000000007</v>
      </c>
      <c r="J20" s="592"/>
      <c r="K20" s="592"/>
      <c r="L20" s="955">
        <f>(65/5000)*80%</f>
        <v>1.04E-2</v>
      </c>
      <c r="M20" s="956">
        <f>$G20*L20</f>
        <v>41.6</v>
      </c>
      <c r="N20" s="592"/>
      <c r="O20" s="592"/>
    </row>
    <row r="21" spans="1:15">
      <c r="A21" s="330"/>
      <c r="B21" s="281" t="s">
        <v>24</v>
      </c>
      <c r="C21" s="280" t="s">
        <v>130</v>
      </c>
      <c r="D21" s="280">
        <f t="shared" ref="D21:G21" si="6">D16</f>
        <v>2.2000000000000002</v>
      </c>
      <c r="E21" s="280">
        <f t="shared" si="6"/>
        <v>10</v>
      </c>
      <c r="F21" s="280">
        <f t="shared" si="6"/>
        <v>12000000</v>
      </c>
      <c r="G21" s="280">
        <f t="shared" si="6"/>
        <v>3000</v>
      </c>
      <c r="H21" s="955">
        <f>H20/3</f>
        <v>3.333333333333334E-3</v>
      </c>
      <c r="I21" s="956">
        <f>$G21*H21</f>
        <v>10.000000000000002</v>
      </c>
      <c r="J21" s="592"/>
      <c r="K21" s="592"/>
      <c r="L21" s="955">
        <f>L20/3</f>
        <v>3.4666666666666665E-3</v>
      </c>
      <c r="M21" s="956">
        <f>$G21*L21</f>
        <v>10.4</v>
      </c>
      <c r="N21" s="592"/>
      <c r="O21" s="592"/>
    </row>
    <row r="22" spans="1:15">
      <c r="A22" s="330"/>
      <c r="B22" s="281" t="s">
        <v>8</v>
      </c>
      <c r="C22" s="280" t="s">
        <v>147</v>
      </c>
      <c r="D22" s="280">
        <f t="shared" ref="D22:G22" si="7">D17</f>
        <v>0</v>
      </c>
      <c r="E22" s="280">
        <f t="shared" si="7"/>
        <v>1</v>
      </c>
      <c r="F22" s="280">
        <f t="shared" si="7"/>
        <v>1686</v>
      </c>
      <c r="G22" s="280">
        <f t="shared" si="7"/>
        <v>13488</v>
      </c>
      <c r="H22" s="955">
        <f>(H20*D20+H21*D21)</f>
        <v>1.1333333333333336E-2</v>
      </c>
      <c r="I22" s="956">
        <f>$G22*H22</f>
        <v>152.86400000000003</v>
      </c>
      <c r="J22" s="592"/>
      <c r="K22" s="592">
        <f>I22*J5</f>
        <v>152.86400000000003</v>
      </c>
      <c r="L22" s="955">
        <f>(L20*D20+L21*D21)</f>
        <v>1.1786666666666668E-2</v>
      </c>
      <c r="M22" s="956">
        <f>$G22*L22</f>
        <v>158.97856000000002</v>
      </c>
      <c r="N22" s="592"/>
      <c r="O22" s="592">
        <f>M22*N5</f>
        <v>158.97856000000002</v>
      </c>
    </row>
    <row r="23" spans="1:15" s="442" customFormat="1" ht="31.5">
      <c r="A23" s="329" t="s">
        <v>158</v>
      </c>
      <c r="B23" s="560" t="str">
        <f>'DK bo sung'!B13</f>
        <v>Nhận các ý kiến góp ý, xem xét các ý kiến góp ý, trả lời ý kiến góp ý (10% số hồ sơ phải trả lời)</v>
      </c>
      <c r="C23" s="830"/>
      <c r="D23" s="557"/>
      <c r="E23" s="276"/>
      <c r="F23" s="277"/>
      <c r="G23" s="278"/>
      <c r="H23" s="951"/>
      <c r="I23" s="952">
        <f>SUM(I24:I25)</f>
        <v>3.0000000000000004</v>
      </c>
      <c r="J23" s="592">
        <f>I23*J5</f>
        <v>3.0000000000000004</v>
      </c>
      <c r="K23" s="592"/>
      <c r="L23" s="951"/>
      <c r="M23" s="952">
        <f>SUM(M24:M25)</f>
        <v>4.8000000000000007</v>
      </c>
      <c r="N23" s="592">
        <f>M23*N5</f>
        <v>4.8000000000000007</v>
      </c>
      <c r="O23" s="592"/>
    </row>
    <row r="24" spans="1:15">
      <c r="A24" s="330"/>
      <c r="B24" s="281" t="s">
        <v>73</v>
      </c>
      <c r="C24" s="280" t="str">
        <f>C11</f>
        <v>Cái</v>
      </c>
      <c r="D24" s="280">
        <f>D7</f>
        <v>0.4</v>
      </c>
      <c r="E24" s="280">
        <f>E11</f>
        <v>5</v>
      </c>
      <c r="F24" s="558">
        <f>F11</f>
        <v>10000000</v>
      </c>
      <c r="G24" s="558">
        <f>G11</f>
        <v>4000</v>
      </c>
      <c r="H24" s="955">
        <f>((60/8000)*80%)*0.1</f>
        <v>6.0000000000000006E-4</v>
      </c>
      <c r="I24" s="956">
        <f>$G24*H24</f>
        <v>2.4000000000000004</v>
      </c>
      <c r="J24" s="592"/>
      <c r="K24" s="592"/>
      <c r="L24" s="955">
        <f>((60/5000)*80%)*0.1</f>
        <v>9.6000000000000013E-4</v>
      </c>
      <c r="M24" s="956">
        <f>$G24*L24</f>
        <v>3.8400000000000007</v>
      </c>
      <c r="N24" s="592"/>
      <c r="O24" s="592"/>
    </row>
    <row r="25" spans="1:15">
      <c r="A25" s="330"/>
      <c r="B25" s="281" t="s">
        <v>24</v>
      </c>
      <c r="C25" s="280" t="str">
        <f t="shared" ref="C25:G26" si="8">C12</f>
        <v>Cái</v>
      </c>
      <c r="D25" s="280">
        <f>D8</f>
        <v>2.2000000000000002</v>
      </c>
      <c r="E25" s="280">
        <f t="shared" si="8"/>
        <v>10</v>
      </c>
      <c r="F25" s="558">
        <f t="shared" si="8"/>
        <v>12000000</v>
      </c>
      <c r="G25" s="558">
        <f t="shared" si="8"/>
        <v>3000</v>
      </c>
      <c r="H25" s="955">
        <f>H24/3</f>
        <v>2.0000000000000001E-4</v>
      </c>
      <c r="I25" s="956">
        <f>$G25*H25</f>
        <v>0.6</v>
      </c>
      <c r="J25" s="592"/>
      <c r="K25" s="592"/>
      <c r="L25" s="955">
        <f>L24/3</f>
        <v>3.2000000000000003E-4</v>
      </c>
      <c r="M25" s="956">
        <f>$G25*L25</f>
        <v>0.96000000000000008</v>
      </c>
      <c r="N25" s="592"/>
      <c r="O25" s="592"/>
    </row>
    <row r="26" spans="1:15">
      <c r="A26" s="330"/>
      <c r="B26" s="281" t="s">
        <v>8</v>
      </c>
      <c r="C26" s="280" t="str">
        <f t="shared" si="8"/>
        <v>kW</v>
      </c>
      <c r="D26" s="280">
        <f t="shared" si="8"/>
        <v>0</v>
      </c>
      <c r="E26" s="280">
        <f t="shared" si="8"/>
        <v>1</v>
      </c>
      <c r="F26" s="558">
        <f t="shared" si="8"/>
        <v>1686</v>
      </c>
      <c r="G26" s="558">
        <f t="shared" si="8"/>
        <v>13488</v>
      </c>
      <c r="H26" s="955">
        <f>(H24*D24+H25*D25)</f>
        <v>6.8000000000000005E-4</v>
      </c>
      <c r="I26" s="956">
        <f>$G26*H26</f>
        <v>9.1718400000000013</v>
      </c>
      <c r="J26" s="592"/>
      <c r="K26" s="592">
        <f>I26*J5</f>
        <v>9.1718400000000013</v>
      </c>
      <c r="L26" s="955">
        <f>(L24*D24+L25*D25)</f>
        <v>1.0880000000000002E-3</v>
      </c>
      <c r="M26" s="956">
        <f>$G26*L26</f>
        <v>14.674944000000004</v>
      </c>
      <c r="N26" s="592"/>
      <c r="O26" s="592">
        <f>M26*N5</f>
        <v>14.674944000000004</v>
      </c>
    </row>
    <row r="27" spans="1:15" s="442" customFormat="1" ht="30" customHeight="1">
      <c r="A27" s="329" t="s">
        <v>159</v>
      </c>
      <c r="B27" s="560" t="str">
        <f>'DK bo sung'!B14</f>
        <v>Hoàn thiện hồ sơ đối với các trường hợp có ý kiến góp ý, xác nhận vào đơn đề nghị cấp GCN; chuyển hồ sơ cho VPĐK</v>
      </c>
      <c r="C27" s="827"/>
      <c r="D27" s="557"/>
      <c r="E27" s="276"/>
      <c r="F27" s="277"/>
      <c r="G27" s="278"/>
      <c r="H27" s="951"/>
      <c r="I27" s="952">
        <f>SUM(I28:I29)</f>
        <v>150</v>
      </c>
      <c r="J27" s="592">
        <f>I27*J5</f>
        <v>150</v>
      </c>
      <c r="K27" s="592"/>
      <c r="L27" s="951"/>
      <c r="M27" s="952">
        <f>SUM(M28:M29)</f>
        <v>240</v>
      </c>
      <c r="N27" s="592">
        <f>M27*N5</f>
        <v>240</v>
      </c>
      <c r="O27" s="592"/>
    </row>
    <row r="28" spans="1:15">
      <c r="A28" s="330"/>
      <c r="B28" s="281" t="s">
        <v>73</v>
      </c>
      <c r="C28" s="280" t="str">
        <f>C24</f>
        <v>Cái</v>
      </c>
      <c r="D28" s="280">
        <f t="shared" ref="D28:G28" si="9">D24</f>
        <v>0.4</v>
      </c>
      <c r="E28" s="280">
        <f t="shared" si="9"/>
        <v>5</v>
      </c>
      <c r="F28" s="561">
        <f t="shared" si="9"/>
        <v>10000000</v>
      </c>
      <c r="G28" s="561">
        <f t="shared" si="9"/>
        <v>4000</v>
      </c>
      <c r="H28" s="955">
        <f>(300/8000)*80%</f>
        <v>0.03</v>
      </c>
      <c r="I28" s="956">
        <f>$G28*H28</f>
        <v>120</v>
      </c>
      <c r="J28" s="592"/>
      <c r="K28" s="592"/>
      <c r="L28" s="955">
        <f>(300/5000)*80%</f>
        <v>4.8000000000000001E-2</v>
      </c>
      <c r="M28" s="956">
        <f>$G28*L28</f>
        <v>192</v>
      </c>
      <c r="N28" s="592"/>
      <c r="O28" s="592"/>
    </row>
    <row r="29" spans="1:15">
      <c r="A29" s="330"/>
      <c r="B29" s="281" t="s">
        <v>24</v>
      </c>
      <c r="C29" s="280" t="str">
        <f t="shared" ref="C29:G30" si="10">C25</f>
        <v>Cái</v>
      </c>
      <c r="D29" s="280">
        <f t="shared" si="10"/>
        <v>2.2000000000000002</v>
      </c>
      <c r="E29" s="280">
        <f t="shared" si="10"/>
        <v>10</v>
      </c>
      <c r="F29" s="561">
        <f t="shared" si="10"/>
        <v>12000000</v>
      </c>
      <c r="G29" s="561">
        <f t="shared" si="10"/>
        <v>3000</v>
      </c>
      <c r="H29" s="955">
        <f>H28/3</f>
        <v>0.01</v>
      </c>
      <c r="I29" s="956">
        <f>$G29*H29</f>
        <v>30</v>
      </c>
      <c r="J29" s="592"/>
      <c r="K29" s="592"/>
      <c r="L29" s="955">
        <f>L28/3</f>
        <v>1.6E-2</v>
      </c>
      <c r="M29" s="956">
        <f>$G29*L29</f>
        <v>48</v>
      </c>
      <c r="N29" s="592"/>
      <c r="O29" s="592"/>
    </row>
    <row r="30" spans="1:15">
      <c r="A30" s="330"/>
      <c r="B30" s="281" t="s">
        <v>8</v>
      </c>
      <c r="C30" s="280" t="str">
        <f t="shared" si="10"/>
        <v>kW</v>
      </c>
      <c r="D30" s="280">
        <f t="shared" si="10"/>
        <v>0</v>
      </c>
      <c r="E30" s="280">
        <f t="shared" si="10"/>
        <v>1</v>
      </c>
      <c r="F30" s="561">
        <f t="shared" si="10"/>
        <v>1686</v>
      </c>
      <c r="G30" s="561">
        <f t="shared" si="10"/>
        <v>13488</v>
      </c>
      <c r="H30" s="955">
        <f>(H28*D28+H29*D29)</f>
        <v>3.4000000000000002E-2</v>
      </c>
      <c r="I30" s="956">
        <f>$G30*H30</f>
        <v>458.59200000000004</v>
      </c>
      <c r="J30" s="592"/>
      <c r="K30" s="592">
        <f>I30*J5</f>
        <v>458.59200000000004</v>
      </c>
      <c r="L30" s="955">
        <f>(L28*D28+L29*D29)</f>
        <v>5.4400000000000004E-2</v>
      </c>
      <c r="M30" s="956">
        <f>$G30*L30</f>
        <v>733.74720000000002</v>
      </c>
      <c r="N30" s="592"/>
      <c r="O30" s="592">
        <f>M30*N5</f>
        <v>733.74720000000002</v>
      </c>
    </row>
    <row r="31" spans="1:15">
      <c r="A31" s="957"/>
      <c r="B31" s="958"/>
      <c r="C31" s="959"/>
      <c r="D31" s="958"/>
      <c r="E31" s="958"/>
      <c r="F31" s="960"/>
      <c r="G31" s="960"/>
      <c r="H31" s="961"/>
      <c r="I31" s="962"/>
      <c r="J31" s="592">
        <f>SUM(J6:J30)</f>
        <v>200506</v>
      </c>
      <c r="K31" s="592">
        <f>SUM(K6:K30)</f>
        <v>613002.98367999983</v>
      </c>
      <c r="L31" s="961"/>
      <c r="M31" s="962"/>
      <c r="N31" s="592">
        <f>SUM(N6:N30)</f>
        <v>200793.59999999998</v>
      </c>
      <c r="O31" s="592">
        <f>SUM(O6:O30)</f>
        <v>613882.25740799995</v>
      </c>
    </row>
  </sheetData>
  <mergeCells count="3">
    <mergeCell ref="A1:I1"/>
    <mergeCell ref="H2:K2"/>
    <mergeCell ref="L2:O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31"/>
  <sheetViews>
    <sheetView topLeftCell="A7" workbookViewId="0">
      <selection activeCell="F4" sqref="F4"/>
    </sheetView>
  </sheetViews>
  <sheetFormatPr defaultColWidth="9" defaultRowHeight="15"/>
  <cols>
    <col min="1" max="1" width="7.875" style="36" customWidth="1"/>
    <col min="2" max="2" width="55.625" style="37" customWidth="1"/>
    <col min="3" max="3" width="9.375" style="36" customWidth="1"/>
    <col min="4" max="4" width="8.75" style="37" customWidth="1"/>
    <col min="5" max="5" width="9.25" style="37" customWidth="1"/>
    <col min="6" max="6" width="12.875" style="97" hidden="1" customWidth="1"/>
    <col min="7" max="7" width="11" style="225" bestFit="1" customWidth="1"/>
    <col min="8" max="8" width="14.25" style="226" customWidth="1"/>
    <col min="9" max="9" width="11.25" style="37" bestFit="1" customWidth="1"/>
    <col min="10" max="10" width="12.625" style="37" customWidth="1"/>
    <col min="11" max="16384" width="9" style="37"/>
  </cols>
  <sheetData>
    <row r="1" spans="1:13" s="12" customFormat="1" ht="15.75">
      <c r="A1" s="1856" t="s">
        <v>75</v>
      </c>
      <c r="B1" s="1856"/>
      <c r="C1" s="1856"/>
      <c r="D1" s="1856"/>
      <c r="E1" s="1856"/>
      <c r="F1" s="1856"/>
      <c r="G1" s="1856"/>
      <c r="H1" s="1856"/>
    </row>
    <row r="2" spans="1:13" s="12" customFormat="1" ht="16.5" thickBot="1">
      <c r="A2" s="929"/>
      <c r="B2" s="488"/>
      <c r="C2" s="929"/>
      <c r="D2" s="488"/>
      <c r="E2" s="488"/>
      <c r="F2" s="930"/>
      <c r="G2" s="2011" t="s">
        <v>651</v>
      </c>
      <c r="H2" s="2008"/>
      <c r="I2" s="2007" t="s">
        <v>653</v>
      </c>
      <c r="J2" s="2007"/>
    </row>
    <row r="3" spans="1:13" s="13" customFormat="1" ht="31.5">
      <c r="A3" s="1860" t="s">
        <v>14</v>
      </c>
      <c r="B3" s="1862" t="s">
        <v>2</v>
      </c>
      <c r="C3" s="1862" t="s">
        <v>20</v>
      </c>
      <c r="D3" s="219" t="s">
        <v>98</v>
      </c>
      <c r="E3" s="219" t="s">
        <v>100</v>
      </c>
      <c r="F3" s="220" t="s">
        <v>100</v>
      </c>
      <c r="G3" s="229" t="s">
        <v>68</v>
      </c>
      <c r="H3" s="224" t="s">
        <v>72</v>
      </c>
      <c r="I3" s="229" t="s">
        <v>68</v>
      </c>
      <c r="J3" s="224" t="s">
        <v>72</v>
      </c>
    </row>
    <row r="4" spans="1:13" s="13" customFormat="1" ht="15.75">
      <c r="A4" s="1861"/>
      <c r="B4" s="1863"/>
      <c r="C4" s="1863"/>
      <c r="D4" s="820" t="s">
        <v>99</v>
      </c>
      <c r="E4" s="820" t="s">
        <v>101</v>
      </c>
      <c r="F4" s="221" t="s">
        <v>102</v>
      </c>
      <c r="G4" s="345">
        <v>8</v>
      </c>
      <c r="H4" s="415">
        <f>SUM(H5:H11)</f>
        <v>1105.3970284903846</v>
      </c>
      <c r="I4" s="345">
        <v>8</v>
      </c>
      <c r="J4" s="415">
        <f>SUM(J5:J11)</f>
        <v>1915.1888252564108</v>
      </c>
    </row>
    <row r="5" spans="1:13" s="19" customFormat="1" ht="15.75">
      <c r="A5" s="931">
        <v>1</v>
      </c>
      <c r="B5" s="932" t="s">
        <v>52</v>
      </c>
      <c r="C5" s="8" t="str">
        <f>Gia_Dcu!C6</f>
        <v>Cái</v>
      </c>
      <c r="D5" s="8">
        <f>Gia_Dcu!D6</f>
        <v>24</v>
      </c>
      <c r="E5" s="933">
        <f>Gia_Dcu!E6</f>
        <v>13500</v>
      </c>
      <c r="F5" s="934">
        <f>Gia_Dcu!F6</f>
        <v>21.634615384615383</v>
      </c>
      <c r="G5" s="935">
        <f>D30/5</f>
        <v>2.6549999999999997E-2</v>
      </c>
      <c r="H5" s="936">
        <f t="shared" ref="H5:H10" si="0">$F5*G5</f>
        <v>0.57439903846153839</v>
      </c>
      <c r="I5" s="935">
        <f>G30/5</f>
        <v>4.6000000000000006E-2</v>
      </c>
      <c r="J5" s="936">
        <f t="shared" ref="J5:J6" si="1">$F5*I5</f>
        <v>0.99519230769230771</v>
      </c>
    </row>
    <row r="6" spans="1:13" s="19" customFormat="1" ht="15.75">
      <c r="A6" s="931">
        <v>2</v>
      </c>
      <c r="B6" s="932" t="s">
        <v>53</v>
      </c>
      <c r="C6" s="8" t="str">
        <f>Gia_Dcu!C7</f>
        <v>Cái</v>
      </c>
      <c r="D6" s="8">
        <f>Gia_Dcu!D7</f>
        <v>60</v>
      </c>
      <c r="E6" s="933">
        <f>Gia_Dcu!E7</f>
        <v>1500000</v>
      </c>
      <c r="F6" s="934">
        <f>Gia_Dcu!F7</f>
        <v>961.53846153846155</v>
      </c>
      <c r="G6" s="935">
        <f>D30/3</f>
        <v>4.4249999999999991E-2</v>
      </c>
      <c r="H6" s="936">
        <f t="shared" si="0"/>
        <v>42.548076923076913</v>
      </c>
      <c r="I6" s="935">
        <f>G30/3</f>
        <v>7.6666666666666675E-2</v>
      </c>
      <c r="J6" s="936">
        <f t="shared" si="1"/>
        <v>73.71794871794873</v>
      </c>
    </row>
    <row r="7" spans="1:13" s="19" customFormat="1" ht="15.75">
      <c r="A7" s="931">
        <v>3</v>
      </c>
      <c r="B7" s="932" t="s">
        <v>54</v>
      </c>
      <c r="C7" s="8" t="str">
        <f>Gia_Dcu!C8</f>
        <v>Cái</v>
      </c>
      <c r="D7" s="8">
        <f>Gia_Dcu!D8</f>
        <v>96</v>
      </c>
      <c r="E7" s="933">
        <f>Gia_Dcu!E8</f>
        <v>360000</v>
      </c>
      <c r="F7" s="934">
        <f>Gia_Dcu!F8</f>
        <v>144.23076923076923</v>
      </c>
      <c r="G7" s="935">
        <f>D30</f>
        <v>0.13274999999999998</v>
      </c>
      <c r="H7" s="936">
        <f>$F7*G7</f>
        <v>19.146634615384613</v>
      </c>
      <c r="I7" s="935">
        <f>G30</f>
        <v>0.23000000000000004</v>
      </c>
      <c r="J7" s="936">
        <f>$F7*I7</f>
        <v>33.173076923076927</v>
      </c>
    </row>
    <row r="8" spans="1:13" s="19" customFormat="1" ht="15.75">
      <c r="A8" s="931">
        <v>4</v>
      </c>
      <c r="B8" s="932" t="s">
        <v>27</v>
      </c>
      <c r="C8" s="8" t="str">
        <f>Gia_Dcu!C9</f>
        <v>Cái</v>
      </c>
      <c r="D8" s="8">
        <f>Gia_Dcu!D9</f>
        <v>96</v>
      </c>
      <c r="E8" s="933">
        <f>Gia_Dcu!E9</f>
        <v>754000</v>
      </c>
      <c r="F8" s="934">
        <f>Gia_Dcu!F9</f>
        <v>302.08333333333337</v>
      </c>
      <c r="G8" s="935">
        <f>D30</f>
        <v>0.13274999999999998</v>
      </c>
      <c r="H8" s="936">
        <f t="shared" si="0"/>
        <v>40.1015625</v>
      </c>
      <c r="I8" s="935">
        <f>G30</f>
        <v>0.23000000000000004</v>
      </c>
      <c r="J8" s="936">
        <f t="shared" ref="J8:J10" si="2">$F8*I8</f>
        <v>69.479166666666686</v>
      </c>
    </row>
    <row r="9" spans="1:13" s="19" customFormat="1" ht="15.75">
      <c r="A9" s="931">
        <v>5</v>
      </c>
      <c r="B9" s="932" t="s">
        <v>55</v>
      </c>
      <c r="C9" s="8" t="str">
        <f>Gia_Dcu!C10</f>
        <v>Cái</v>
      </c>
      <c r="D9" s="8">
        <f>Gia_Dcu!D10</f>
        <v>96</v>
      </c>
      <c r="E9" s="933">
        <f>Gia_Dcu!E10</f>
        <v>870000</v>
      </c>
      <c r="F9" s="934">
        <f>Gia_Dcu!F10</f>
        <v>348.55769230769232</v>
      </c>
      <c r="G9" s="935">
        <f>D30/4</f>
        <v>3.3187499999999995E-2</v>
      </c>
      <c r="H9" s="936">
        <f t="shared" si="0"/>
        <v>11.567758413461537</v>
      </c>
      <c r="I9" s="935">
        <f>G30/4</f>
        <v>5.7500000000000009E-2</v>
      </c>
      <c r="J9" s="936">
        <f t="shared" si="2"/>
        <v>20.04206730769231</v>
      </c>
    </row>
    <row r="10" spans="1:13" s="19" customFormat="1" ht="15.75">
      <c r="A10" s="931">
        <v>6</v>
      </c>
      <c r="B10" s="932" t="s">
        <v>56</v>
      </c>
      <c r="C10" s="8" t="str">
        <f>Gia_Dcu!C11</f>
        <v>Cái</v>
      </c>
      <c r="D10" s="8">
        <f>Gia_Dcu!D11</f>
        <v>24</v>
      </c>
      <c r="E10" s="933">
        <f>Gia_Dcu!E11</f>
        <v>65000</v>
      </c>
      <c r="F10" s="934">
        <f>Gia_Dcu!F11</f>
        <v>104.16666666666667</v>
      </c>
      <c r="G10" s="935">
        <f>D30</f>
        <v>0.13274999999999998</v>
      </c>
      <c r="H10" s="936">
        <f t="shared" si="0"/>
        <v>13.828124999999998</v>
      </c>
      <c r="I10" s="935">
        <f>G30</f>
        <v>0.23000000000000004</v>
      </c>
      <c r="J10" s="936">
        <f t="shared" si="2"/>
        <v>23.958333333333339</v>
      </c>
    </row>
    <row r="11" spans="1:13" s="19" customFormat="1" ht="15.75">
      <c r="A11" s="937">
        <v>7</v>
      </c>
      <c r="B11" s="938" t="s">
        <v>58</v>
      </c>
      <c r="C11" s="59" t="str">
        <f>Gia_Dcu!C12</f>
        <v>Cái</v>
      </c>
      <c r="D11" s="140">
        <v>1.05</v>
      </c>
      <c r="E11" s="939">
        <f>Gia_Dcu!E12</f>
        <v>1686</v>
      </c>
      <c r="F11" s="920">
        <f>Gia_Dcu!F12</f>
        <v>13488</v>
      </c>
      <c r="G11" s="940">
        <f>(G9*0.1+G10*0.04)*G$4</f>
        <v>6.9029999999999994E-2</v>
      </c>
      <c r="H11" s="941">
        <f>$F11*G11*D11</f>
        <v>977.63047199999994</v>
      </c>
      <c r="I11" s="940">
        <f>(I9*0.1+I10*0.04)*I$4</f>
        <v>0.11960000000000003</v>
      </c>
      <c r="J11" s="941">
        <f>D11*F11*I11</f>
        <v>1693.8230400000004</v>
      </c>
    </row>
    <row r="13" spans="1:13" s="12" customFormat="1" ht="15.75" thickBot="1">
      <c r="A13" s="242"/>
      <c r="C13" s="242"/>
      <c r="D13" s="2012" t="s">
        <v>651</v>
      </c>
      <c r="E13" s="2013"/>
      <c r="F13" s="2013"/>
      <c r="G13" s="2014" t="s">
        <v>653</v>
      </c>
      <c r="H13" s="2014"/>
      <c r="I13" s="2014"/>
      <c r="K13" s="2006"/>
      <c r="L13" s="2006"/>
      <c r="M13" s="2006"/>
    </row>
    <row r="14" spans="1:13" s="12" customFormat="1" ht="31.5">
      <c r="A14" s="227" t="s">
        <v>14</v>
      </c>
      <c r="B14" s="227" t="s">
        <v>133</v>
      </c>
      <c r="C14" s="227" t="s">
        <v>636</v>
      </c>
      <c r="D14" s="228" t="s">
        <v>110</v>
      </c>
      <c r="E14" s="228" t="s">
        <v>28</v>
      </c>
      <c r="F14" s="227" t="s">
        <v>19</v>
      </c>
      <c r="G14" s="228" t="s">
        <v>110</v>
      </c>
      <c r="H14" s="228" t="s">
        <v>28</v>
      </c>
      <c r="I14" s="547" t="s">
        <v>19</v>
      </c>
      <c r="J14" s="5"/>
      <c r="K14" s="563"/>
      <c r="L14" s="563"/>
      <c r="M14" s="562"/>
    </row>
    <row r="15" spans="1:13" s="12" customFormat="1" ht="15.75">
      <c r="A15" s="312"/>
      <c r="B15" s="829" t="s">
        <v>138</v>
      </c>
      <c r="C15" s="942"/>
      <c r="D15" s="916"/>
      <c r="E15" s="917"/>
      <c r="F15" s="916"/>
      <c r="G15" s="916"/>
      <c r="H15" s="917"/>
      <c r="I15" s="548"/>
      <c r="J15" s="5"/>
      <c r="K15" s="564"/>
      <c r="L15" s="565"/>
      <c r="M15" s="564"/>
    </row>
    <row r="16" spans="1:13" s="12" customFormat="1" ht="15.75">
      <c r="A16" s="306">
        <v>1</v>
      </c>
      <c r="B16" s="523" t="s">
        <v>631</v>
      </c>
      <c r="C16" s="943"/>
      <c r="D16" s="910"/>
      <c r="E16" s="918"/>
      <c r="F16" s="906">
        <f>SUM(F17:F19)</f>
        <v>2602158.7299679494</v>
      </c>
      <c r="G16" s="910"/>
      <c r="H16" s="910"/>
      <c r="I16" s="571">
        <f t="shared" ref="I16" si="3">SUM(I17:I19)</f>
        <v>3996915.80923077</v>
      </c>
      <c r="J16" s="5"/>
      <c r="K16" s="566"/>
      <c r="L16" s="567"/>
      <c r="M16" s="566"/>
    </row>
    <row r="17" spans="1:13" s="12" customFormat="1" ht="30">
      <c r="A17" s="315"/>
      <c r="B17" s="529" t="s">
        <v>632</v>
      </c>
      <c r="C17" s="943" t="s">
        <v>637</v>
      </c>
      <c r="D17" s="910">
        <f>30/8000</f>
        <v>3.7499999999999999E-3</v>
      </c>
      <c r="E17" s="944">
        <f>(D17/$D$30)</f>
        <v>2.8248587570621472E-2</v>
      </c>
      <c r="F17" s="907">
        <f>E17*$H$4*10000</f>
        <v>312259.04759615392</v>
      </c>
      <c r="G17" s="910">
        <f>30/5000</f>
        <v>6.0000000000000001E-3</v>
      </c>
      <c r="H17" s="918">
        <f>G17/$G$30</f>
        <v>2.6086956521739126E-2</v>
      </c>
      <c r="I17" s="570">
        <f>H17*$J$4*8000</f>
        <v>399691.58092307695</v>
      </c>
      <c r="J17" s="5"/>
      <c r="K17" s="566"/>
      <c r="L17" s="567"/>
      <c r="M17" s="568"/>
    </row>
    <row r="18" spans="1:13" s="12" customFormat="1" ht="15.75">
      <c r="A18" s="315"/>
      <c r="B18" s="529" t="s">
        <v>633</v>
      </c>
      <c r="C18" s="943" t="s">
        <v>637</v>
      </c>
      <c r="D18" s="910">
        <f>20/8000</f>
        <v>2.5000000000000001E-3</v>
      </c>
      <c r="E18" s="944">
        <f t="shared" ref="E18:E29" si="4">(D18/$D$30)</f>
        <v>1.8832391713747648E-2</v>
      </c>
      <c r="F18" s="907">
        <f>E18*$H$4*10000</f>
        <v>208172.69839743592</v>
      </c>
      <c r="G18" s="910">
        <f>20/5000</f>
        <v>4.0000000000000001E-3</v>
      </c>
      <c r="H18" s="918">
        <f t="shared" ref="H18:H29" si="5">G18/$G$30</f>
        <v>1.7391304347826084E-2</v>
      </c>
      <c r="I18" s="570">
        <f>H18*$J$4*8000</f>
        <v>266461.05394871795</v>
      </c>
      <c r="J18" s="5"/>
      <c r="K18" s="566"/>
      <c r="L18" s="567"/>
      <c r="M18" s="568"/>
    </row>
    <row r="19" spans="1:13" s="12" customFormat="1" ht="33" customHeight="1">
      <c r="A19" s="315"/>
      <c r="B19" s="529" t="s">
        <v>634</v>
      </c>
      <c r="C19" s="943" t="s">
        <v>637</v>
      </c>
      <c r="D19" s="910">
        <f>200/8000</f>
        <v>2.5000000000000001E-2</v>
      </c>
      <c r="E19" s="944">
        <f t="shared" si="4"/>
        <v>0.18832391713747651</v>
      </c>
      <c r="F19" s="907">
        <f>E19*$H$4*10000</f>
        <v>2081726.9839743597</v>
      </c>
      <c r="G19" s="910">
        <f>250/5000</f>
        <v>0.05</v>
      </c>
      <c r="H19" s="918">
        <f t="shared" si="5"/>
        <v>0.21739130434782605</v>
      </c>
      <c r="I19" s="570">
        <f>H19*$J$4*8000</f>
        <v>3330763.1743589751</v>
      </c>
      <c r="J19" s="5"/>
      <c r="K19" s="566"/>
      <c r="L19" s="567"/>
      <c r="M19" s="568"/>
    </row>
    <row r="20" spans="1:13" s="12" customFormat="1" ht="15.75" customHeight="1">
      <c r="A20" s="453">
        <v>2</v>
      </c>
      <c r="B20" s="453" t="s">
        <v>641</v>
      </c>
      <c r="C20" s="943"/>
      <c r="D20" s="910"/>
      <c r="E20" s="944">
        <f t="shared" si="4"/>
        <v>0</v>
      </c>
      <c r="F20" s="908">
        <f>SUM(F21:F25)</f>
        <v>422.59057774679496</v>
      </c>
      <c r="G20" s="909"/>
      <c r="H20" s="909"/>
      <c r="I20" s="550">
        <f t="shared" ref="I20" si="6">SUM(I21:I25)</f>
        <v>707.78717455128208</v>
      </c>
      <c r="J20" s="5"/>
      <c r="K20" s="566"/>
      <c r="L20" s="567"/>
      <c r="M20" s="568"/>
    </row>
    <row r="21" spans="1:13" s="12" customFormat="1" ht="47.25" hidden="1">
      <c r="A21" s="309"/>
      <c r="B21" s="825" t="s">
        <v>642</v>
      </c>
      <c r="C21" s="943" t="s">
        <v>637</v>
      </c>
      <c r="D21" s="910"/>
      <c r="E21" s="944"/>
      <c r="F21" s="909"/>
      <c r="G21" s="910"/>
      <c r="H21" s="918"/>
      <c r="I21" s="551"/>
      <c r="J21" s="5"/>
      <c r="K21" s="566"/>
      <c r="L21" s="567"/>
      <c r="M21" s="568"/>
    </row>
    <row r="22" spans="1:13" s="12" customFormat="1" ht="15.75" hidden="1">
      <c r="A22" s="309"/>
      <c r="B22" s="825" t="s">
        <v>643</v>
      </c>
      <c r="C22" s="943" t="s">
        <v>637</v>
      </c>
      <c r="D22" s="910"/>
      <c r="E22" s="944"/>
      <c r="F22" s="909"/>
      <c r="G22" s="910"/>
      <c r="H22" s="918"/>
      <c r="I22" s="551"/>
      <c r="J22" s="5"/>
      <c r="K22" s="566"/>
      <c r="L22" s="567"/>
      <c r="M22" s="568"/>
    </row>
    <row r="23" spans="1:13" s="12" customFormat="1" ht="15.75">
      <c r="A23" s="893" t="s">
        <v>119</v>
      </c>
      <c r="B23" s="894" t="s">
        <v>644</v>
      </c>
      <c r="C23" s="943" t="s">
        <v>637</v>
      </c>
      <c r="D23" s="910">
        <f>100/8000</f>
        <v>1.2500000000000001E-2</v>
      </c>
      <c r="E23" s="944">
        <f t="shared" si="4"/>
        <v>9.4161958568738255E-2</v>
      </c>
      <c r="F23" s="909">
        <f t="shared" ref="F23:F29" si="7">E23*$H$4</f>
        <v>104.08634919871798</v>
      </c>
      <c r="G23" s="910">
        <f>65/5000</f>
        <v>1.2999999999999999E-2</v>
      </c>
      <c r="H23" s="918">
        <f t="shared" si="5"/>
        <v>5.6521739130434769E-2</v>
      </c>
      <c r="I23" s="551">
        <f t="shared" ref="I23:I29" si="8">H23*$J$4</f>
        <v>108.24980316666667</v>
      </c>
      <c r="J23" s="5"/>
      <c r="K23" s="566"/>
      <c r="L23" s="567"/>
      <c r="M23" s="568"/>
    </row>
    <row r="24" spans="1:13" s="12" customFormat="1" ht="30">
      <c r="A24" s="893" t="s">
        <v>158</v>
      </c>
      <c r="B24" s="894" t="s">
        <v>645</v>
      </c>
      <c r="C24" s="943" t="s">
        <v>637</v>
      </c>
      <c r="D24" s="910">
        <f>(60/8000)*0.1</f>
        <v>7.5000000000000002E-4</v>
      </c>
      <c r="E24" s="944">
        <f t="shared" si="4"/>
        <v>5.6497175141242946E-3</v>
      </c>
      <c r="F24" s="909">
        <f t="shared" si="7"/>
        <v>6.2451809519230777</v>
      </c>
      <c r="G24" s="910">
        <f>60/5000</f>
        <v>1.2E-2</v>
      </c>
      <c r="H24" s="918">
        <f t="shared" si="5"/>
        <v>5.2173913043478251E-2</v>
      </c>
      <c r="I24" s="551">
        <f t="shared" si="8"/>
        <v>99.922895230769242</v>
      </c>
      <c r="J24" s="5"/>
      <c r="K24" s="566"/>
      <c r="L24" s="567"/>
      <c r="M24" s="568"/>
    </row>
    <row r="25" spans="1:13" s="12" customFormat="1" ht="15.75">
      <c r="A25" s="893" t="s">
        <v>159</v>
      </c>
      <c r="B25" s="894" t="s">
        <v>646</v>
      </c>
      <c r="C25" s="943" t="s">
        <v>637</v>
      </c>
      <c r="D25" s="910">
        <f>300/8000</f>
        <v>3.7499999999999999E-2</v>
      </c>
      <c r="E25" s="944">
        <f t="shared" si="4"/>
        <v>0.28248587570621475</v>
      </c>
      <c r="F25" s="909">
        <f t="shared" si="7"/>
        <v>312.25904759615389</v>
      </c>
      <c r="G25" s="910">
        <f>300/5000</f>
        <v>0.06</v>
      </c>
      <c r="H25" s="918">
        <f t="shared" si="5"/>
        <v>0.26086956521739124</v>
      </c>
      <c r="I25" s="551">
        <f t="shared" si="8"/>
        <v>499.61447615384617</v>
      </c>
      <c r="J25" s="5"/>
      <c r="K25" s="566"/>
      <c r="L25" s="567"/>
      <c r="M25" s="568"/>
    </row>
    <row r="26" spans="1:13" s="12" customFormat="1" ht="15.75">
      <c r="A26" s="516">
        <v>3</v>
      </c>
      <c r="B26" s="528" t="s">
        <v>647</v>
      </c>
      <c r="C26" s="943"/>
      <c r="D26" s="910"/>
      <c r="E26" s="944">
        <f t="shared" si="4"/>
        <v>0</v>
      </c>
      <c r="F26" s="909">
        <f t="shared" si="7"/>
        <v>0</v>
      </c>
      <c r="G26" s="910"/>
      <c r="H26" s="918">
        <f t="shared" si="5"/>
        <v>0</v>
      </c>
      <c r="I26" s="551">
        <f t="shared" si="8"/>
        <v>0</v>
      </c>
      <c r="J26" s="5"/>
      <c r="K26" s="566"/>
      <c r="L26" s="567"/>
      <c r="M26" s="568"/>
    </row>
    <row r="27" spans="1:13" s="12" customFormat="1" ht="32.25" customHeight="1">
      <c r="A27" s="893" t="s">
        <v>120</v>
      </c>
      <c r="B27" s="901" t="s">
        <v>644</v>
      </c>
      <c r="C27" s="943" t="s">
        <v>637</v>
      </c>
      <c r="D27" s="910">
        <f>100/8000</f>
        <v>1.2500000000000001E-2</v>
      </c>
      <c r="E27" s="944">
        <f t="shared" si="4"/>
        <v>9.4161958568738255E-2</v>
      </c>
      <c r="F27" s="909">
        <f t="shared" si="7"/>
        <v>104.08634919871798</v>
      </c>
      <c r="G27" s="910">
        <f>65/5000</f>
        <v>1.2999999999999999E-2</v>
      </c>
      <c r="H27" s="918">
        <f t="shared" si="5"/>
        <v>5.6521739130434769E-2</v>
      </c>
      <c r="I27" s="551">
        <f t="shared" si="8"/>
        <v>108.24980316666667</v>
      </c>
      <c r="J27" s="5"/>
      <c r="K27" s="566"/>
      <c r="L27" s="567"/>
      <c r="M27" s="568"/>
    </row>
    <row r="28" spans="1:13" s="12" customFormat="1" ht="30">
      <c r="A28" s="893" t="s">
        <v>155</v>
      </c>
      <c r="B28" s="901" t="s">
        <v>645</v>
      </c>
      <c r="C28" s="943" t="s">
        <v>637</v>
      </c>
      <c r="D28" s="910">
        <f>(60/8000)*0.1</f>
        <v>7.5000000000000002E-4</v>
      </c>
      <c r="E28" s="944">
        <f t="shared" si="4"/>
        <v>5.6497175141242946E-3</v>
      </c>
      <c r="F28" s="909">
        <f t="shared" si="7"/>
        <v>6.2451809519230777</v>
      </c>
      <c r="G28" s="910">
        <f>60/5000</f>
        <v>1.2E-2</v>
      </c>
      <c r="H28" s="918">
        <f t="shared" si="5"/>
        <v>5.2173913043478251E-2</v>
      </c>
      <c r="I28" s="551">
        <f t="shared" si="8"/>
        <v>99.922895230769242</v>
      </c>
      <c r="J28" s="5"/>
      <c r="K28" s="566"/>
      <c r="L28" s="567"/>
      <c r="M28" s="568"/>
    </row>
    <row r="29" spans="1:13" s="12" customFormat="1" ht="15.75">
      <c r="A29" s="893" t="s">
        <v>139</v>
      </c>
      <c r="B29" s="901" t="s">
        <v>646</v>
      </c>
      <c r="C29" s="943" t="s">
        <v>637</v>
      </c>
      <c r="D29" s="910">
        <f>300/8000</f>
        <v>3.7499999999999999E-2</v>
      </c>
      <c r="E29" s="944">
        <f t="shared" si="4"/>
        <v>0.28248587570621475</v>
      </c>
      <c r="F29" s="909">
        <f t="shared" si="7"/>
        <v>312.25904759615389</v>
      </c>
      <c r="G29" s="910">
        <f>300/5000</f>
        <v>0.06</v>
      </c>
      <c r="H29" s="918">
        <f t="shared" si="5"/>
        <v>0.26086956521739124</v>
      </c>
      <c r="I29" s="551">
        <f t="shared" si="8"/>
        <v>499.61447615384617</v>
      </c>
      <c r="J29" s="5"/>
      <c r="K29" s="566"/>
      <c r="L29" s="567"/>
      <c r="M29" s="568"/>
    </row>
    <row r="30" spans="1:13" s="12" customFormat="1" ht="15.75">
      <c r="C30" s="545"/>
      <c r="D30" s="546">
        <f>SUM(D15:D29)</f>
        <v>0.13274999999999998</v>
      </c>
      <c r="E30" s="546">
        <f>SUM(E15:E29)</f>
        <v>1.0000000000000002</v>
      </c>
      <c r="F30" s="550">
        <f>SUM(F17:F29)</f>
        <v>2603426.5017011897</v>
      </c>
      <c r="G30" s="548">
        <f>SUM(G16:G29)</f>
        <v>0.23000000000000004</v>
      </c>
      <c r="H30" s="549">
        <f>SUM(H17:H29)</f>
        <v>0.99999999999999989</v>
      </c>
      <c r="I30" s="552">
        <f>SUM(I17:I29)</f>
        <v>3999039.1707544238</v>
      </c>
      <c r="J30" s="16"/>
      <c r="K30" s="564"/>
      <c r="L30" s="565"/>
      <c r="M30" s="569"/>
    </row>
    <row r="31" spans="1:13" s="12" customFormat="1" ht="63">
      <c r="A31" s="518">
        <v>4</v>
      </c>
      <c r="B31" s="519" t="s">
        <v>649</v>
      </c>
      <c r="C31" s="545" t="s">
        <v>637</v>
      </c>
      <c r="D31" s="319"/>
      <c r="E31" s="414"/>
      <c r="F31" s="319"/>
      <c r="G31" s="319"/>
      <c r="H31" s="414"/>
      <c r="I31" s="5"/>
      <c r="J31" s="5"/>
      <c r="K31" s="566"/>
      <c r="L31" s="567"/>
      <c r="M31" s="566"/>
    </row>
  </sheetData>
  <mergeCells count="9">
    <mergeCell ref="K13:M13"/>
    <mergeCell ref="G2:H2"/>
    <mergeCell ref="I2:J2"/>
    <mergeCell ref="A1:H1"/>
    <mergeCell ref="A3:A4"/>
    <mergeCell ref="B3:B4"/>
    <mergeCell ref="C3:C4"/>
    <mergeCell ref="D13:F13"/>
    <mergeCell ref="G13:I13"/>
  </mergeCells>
  <printOptions horizontalCentered="1"/>
  <pageMargins left="0.5" right="0.5" top="0.5" bottom="0.5" header="0.5" footer="0.25"/>
  <pageSetup orientation="landscape" horizontalDpi="1200"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N20"/>
  <sheetViews>
    <sheetView workbookViewId="0">
      <selection activeCell="F4" sqref="F4"/>
    </sheetView>
  </sheetViews>
  <sheetFormatPr defaultRowHeight="15"/>
  <cols>
    <col min="2" max="2" width="51.25" customWidth="1"/>
    <col min="4" max="4" width="13.375" customWidth="1"/>
    <col min="5" max="5" width="3.375" bestFit="1" customWidth="1"/>
    <col min="6" max="6" width="11.75" customWidth="1"/>
    <col min="7" max="7" width="10.375" customWidth="1"/>
    <col min="8" max="8" width="8.875" style="533"/>
    <col min="9" max="9" width="8.875" style="477"/>
    <col min="11" max="12" width="15" customWidth="1"/>
  </cols>
  <sheetData>
    <row r="2" spans="1:14" ht="15.75">
      <c r="A2" s="2017" t="s">
        <v>630</v>
      </c>
      <c r="B2" s="2018"/>
      <c r="C2" s="2018"/>
      <c r="D2" s="2018"/>
      <c r="E2" s="2018"/>
      <c r="F2" s="2018"/>
      <c r="G2" s="2018"/>
      <c r="H2" s="2018"/>
      <c r="I2" s="892"/>
      <c r="J2" s="513"/>
      <c r="K2" s="513"/>
      <c r="L2" s="513"/>
      <c r="M2" s="513"/>
      <c r="N2" s="513"/>
    </row>
    <row r="3" spans="1:14" ht="15" customHeight="1">
      <c r="A3" s="513"/>
      <c r="B3" s="513"/>
      <c r="C3" s="513"/>
      <c r="D3" s="513"/>
      <c r="E3" s="513"/>
      <c r="F3" s="2015" t="s">
        <v>653</v>
      </c>
      <c r="G3" s="2015"/>
      <c r="H3" s="2016" t="s">
        <v>652</v>
      </c>
      <c r="I3" s="2015"/>
      <c r="J3" s="513"/>
      <c r="K3" s="513" t="s">
        <v>659</v>
      </c>
      <c r="L3" s="513" t="s">
        <v>658</v>
      </c>
      <c r="M3" s="513"/>
      <c r="N3" s="513"/>
    </row>
    <row r="4" spans="1:14" ht="42.75">
      <c r="A4" s="306" t="s">
        <v>9</v>
      </c>
      <c r="B4" s="306" t="s">
        <v>109</v>
      </c>
      <c r="C4" s="306" t="s">
        <v>20</v>
      </c>
      <c r="D4" s="306" t="s">
        <v>7</v>
      </c>
      <c r="E4" s="514" t="s">
        <v>636</v>
      </c>
      <c r="F4" s="520" t="s">
        <v>110</v>
      </c>
      <c r="G4" s="536" t="s">
        <v>111</v>
      </c>
      <c r="H4" s="520" t="s">
        <v>110</v>
      </c>
      <c r="I4" s="536" t="s">
        <v>111</v>
      </c>
      <c r="J4" s="521" t="s">
        <v>246</v>
      </c>
      <c r="K4" s="522" t="s">
        <v>19</v>
      </c>
      <c r="L4" s="522"/>
      <c r="M4" s="520" t="s">
        <v>6</v>
      </c>
      <c r="N4" s="520" t="s">
        <v>61</v>
      </c>
    </row>
    <row r="5" spans="1:14">
      <c r="A5" s="306"/>
      <c r="B5" s="306"/>
      <c r="C5" s="306"/>
      <c r="D5" s="306"/>
      <c r="E5" s="514"/>
      <c r="F5" s="2015" t="s">
        <v>653</v>
      </c>
      <c r="G5" s="2015"/>
      <c r="H5" s="2016" t="s">
        <v>652</v>
      </c>
      <c r="I5" s="2015"/>
      <c r="J5" s="521"/>
      <c r="K5" s="522"/>
      <c r="L5" s="522"/>
      <c r="M5" s="520"/>
      <c r="N5" s="520"/>
    </row>
    <row r="6" spans="1:14" ht="28.5" customHeight="1">
      <c r="A6" s="306" t="s">
        <v>248</v>
      </c>
      <c r="B6" s="523" t="s">
        <v>138</v>
      </c>
      <c r="C6" s="315"/>
      <c r="D6" s="315"/>
      <c r="E6" s="515"/>
      <c r="F6" s="515"/>
      <c r="G6" s="515"/>
      <c r="H6" s="534"/>
      <c r="I6" s="534"/>
      <c r="J6" s="524"/>
      <c r="K6" s="525">
        <f>K7/10000 + K11</f>
        <v>12597.518259423079</v>
      </c>
      <c r="L6" s="525">
        <f>L7/5000+L11</f>
        <v>19639.670145384618</v>
      </c>
      <c r="M6" s="526"/>
      <c r="N6" s="527"/>
    </row>
    <row r="7" spans="1:14" ht="30" customHeight="1">
      <c r="A7" s="516">
        <v>1</v>
      </c>
      <c r="B7" s="528" t="s">
        <v>631</v>
      </c>
      <c r="C7" s="315"/>
      <c r="D7" s="315"/>
      <c r="E7" s="515"/>
      <c r="F7" s="515"/>
      <c r="G7" s="515"/>
      <c r="H7" s="534"/>
      <c r="I7" s="534"/>
      <c r="J7" s="524"/>
      <c r="K7" s="537">
        <f>SUM(K8:K10)</f>
        <v>22667135.767307699</v>
      </c>
      <c r="L7" s="537">
        <f>SUM(L8:L10)</f>
        <v>22676606.150000006</v>
      </c>
      <c r="M7" s="526"/>
      <c r="N7" s="525"/>
    </row>
    <row r="8" spans="1:14" ht="34.5" customHeight="1">
      <c r="A8" s="315" t="s">
        <v>156</v>
      </c>
      <c r="B8" s="529" t="s">
        <v>632</v>
      </c>
      <c r="C8" s="315" t="s">
        <v>176</v>
      </c>
      <c r="D8" s="315" t="s">
        <v>635</v>
      </c>
      <c r="E8" s="515" t="s">
        <v>637</v>
      </c>
      <c r="F8" s="515" t="s">
        <v>654</v>
      </c>
      <c r="G8" s="515" t="s">
        <v>656</v>
      </c>
      <c r="H8" s="515" t="s">
        <v>654</v>
      </c>
      <c r="I8" s="515" t="s">
        <v>656</v>
      </c>
      <c r="J8" s="524">
        <f>(L_CBan!K50*2+L_CBan!K48)/3</f>
        <v>194125.98717948722</v>
      </c>
      <c r="K8" s="525">
        <f>60*J8+20*L_CBan!K67</f>
        <v>13647559.230769234</v>
      </c>
      <c r="L8" s="525">
        <f>60*J8+20*100000</f>
        <v>13647559.230769234</v>
      </c>
      <c r="M8" s="526"/>
      <c r="N8" s="525"/>
    </row>
    <row r="9" spans="1:14" ht="36" customHeight="1">
      <c r="A9" s="315" t="s">
        <v>157</v>
      </c>
      <c r="B9" s="529" t="s">
        <v>633</v>
      </c>
      <c r="C9" s="315" t="s">
        <v>176</v>
      </c>
      <c r="D9" s="315" t="s">
        <v>638</v>
      </c>
      <c r="E9" s="515" t="s">
        <v>637</v>
      </c>
      <c r="F9" s="515" t="s">
        <v>655</v>
      </c>
      <c r="G9" s="515" t="s">
        <v>657</v>
      </c>
      <c r="H9" s="515" t="s">
        <v>655</v>
      </c>
      <c r="I9" s="515" t="s">
        <v>657</v>
      </c>
      <c r="J9" s="524">
        <f>L_CBan!K48</f>
        <v>175252.65384615387</v>
      </c>
      <c r="K9" s="525">
        <f>40*J9+20*L_CBan!K67</f>
        <v>9010106.1538461559</v>
      </c>
      <c r="L9" s="525">
        <f>40*J9+20*100000</f>
        <v>9010106.1538461559</v>
      </c>
      <c r="M9" s="530"/>
      <c r="N9" s="527"/>
    </row>
    <row r="10" spans="1:14" ht="30" customHeight="1">
      <c r="A10" s="315" t="s">
        <v>727</v>
      </c>
      <c r="B10" s="529" t="s">
        <v>634</v>
      </c>
      <c r="C10" s="315" t="s">
        <v>181</v>
      </c>
      <c r="D10" s="315" t="s">
        <v>639</v>
      </c>
      <c r="E10" s="515" t="s">
        <v>637</v>
      </c>
      <c r="F10" s="890">
        <f>250/5000</f>
        <v>0.05</v>
      </c>
      <c r="G10" s="890">
        <f>F10*2</f>
        <v>0.1</v>
      </c>
      <c r="H10" s="542">
        <f>200/8000</f>
        <v>2.5000000000000001E-2</v>
      </c>
      <c r="I10" s="542">
        <f>H10*2</f>
        <v>0.05</v>
      </c>
      <c r="J10" s="524">
        <f>(L_CBan!K50+L_CBan!K48)/2</f>
        <v>189407.65384615387</v>
      </c>
      <c r="K10" s="525">
        <f>I10*J10</f>
        <v>9470.382692307694</v>
      </c>
      <c r="L10" s="525">
        <f>250/5000*2*J10</f>
        <v>18940.765384615388</v>
      </c>
      <c r="M10" s="530"/>
      <c r="N10" s="527"/>
    </row>
    <row r="11" spans="1:14" ht="32.25" customHeight="1">
      <c r="A11" s="821">
        <v>2</v>
      </c>
      <c r="B11" s="822" t="s">
        <v>641</v>
      </c>
      <c r="C11" s="823"/>
      <c r="D11" s="823"/>
      <c r="E11" s="515"/>
      <c r="F11" s="891"/>
      <c r="G11" s="891"/>
      <c r="H11" s="539"/>
      <c r="I11" s="538"/>
      <c r="J11" s="524"/>
      <c r="K11" s="537">
        <f>K12+K13+K14</f>
        <v>10330.804682692309</v>
      </c>
      <c r="L11" s="537">
        <f>L12+L13+L14</f>
        <v>15104.348915384617</v>
      </c>
      <c r="M11" s="824" t="s">
        <v>640</v>
      </c>
      <c r="N11" s="527"/>
    </row>
    <row r="12" spans="1:14" ht="42" customHeight="1">
      <c r="A12" s="893" t="s">
        <v>119</v>
      </c>
      <c r="B12" s="894" t="s">
        <v>644</v>
      </c>
      <c r="C12" s="893" t="s">
        <v>730</v>
      </c>
      <c r="D12" s="895" t="s">
        <v>48</v>
      </c>
      <c r="E12" s="515" t="s">
        <v>637</v>
      </c>
      <c r="F12" s="891">
        <f>65/5000</f>
        <v>1.2999999999999999E-2</v>
      </c>
      <c r="G12" s="891">
        <f>F12</f>
        <v>1.2999999999999999E-2</v>
      </c>
      <c r="H12" s="896">
        <f>100/8000</f>
        <v>1.2500000000000001E-2</v>
      </c>
      <c r="I12" s="897">
        <f>H12</f>
        <v>1.2500000000000001E-2</v>
      </c>
      <c r="J12" s="540">
        <f>L_CBan!K50</f>
        <v>203562.65384615387</v>
      </c>
      <c r="K12" s="525">
        <f>I12*J12</f>
        <v>2544.5331730769235</v>
      </c>
      <c r="L12" s="525">
        <f>65/5000*J12</f>
        <v>2646.3145000000004</v>
      </c>
      <c r="M12" s="532"/>
      <c r="N12" s="531"/>
    </row>
    <row r="13" spans="1:14" ht="60">
      <c r="A13" s="893" t="s">
        <v>158</v>
      </c>
      <c r="B13" s="894" t="s">
        <v>645</v>
      </c>
      <c r="C13" s="893" t="s">
        <v>730</v>
      </c>
      <c r="D13" s="895" t="s">
        <v>48</v>
      </c>
      <c r="E13" s="515" t="s">
        <v>637</v>
      </c>
      <c r="F13" s="891">
        <f>60/5000</f>
        <v>1.2E-2</v>
      </c>
      <c r="G13" s="891">
        <f>F13</f>
        <v>1.2E-2</v>
      </c>
      <c r="H13" s="896">
        <f>60/8000</f>
        <v>7.4999999999999997E-3</v>
      </c>
      <c r="I13" s="898">
        <f>H13</f>
        <v>7.4999999999999997E-3</v>
      </c>
      <c r="J13" s="524">
        <f>L_CBan!K50</f>
        <v>203562.65384615387</v>
      </c>
      <c r="K13" s="525">
        <f>I13*J13*10%</f>
        <v>152.67199038461541</v>
      </c>
      <c r="L13" s="525">
        <f>(60/5000*J13)*0.1</f>
        <v>244.27518461538466</v>
      </c>
      <c r="M13" s="532" t="s">
        <v>650</v>
      </c>
      <c r="N13" s="531"/>
    </row>
    <row r="14" spans="1:14" ht="36.75" customHeight="1">
      <c r="A14" s="893" t="s">
        <v>159</v>
      </c>
      <c r="B14" s="894" t="s">
        <v>729</v>
      </c>
      <c r="C14" s="893" t="s">
        <v>730</v>
      </c>
      <c r="D14" s="895" t="s">
        <v>48</v>
      </c>
      <c r="E14" s="515" t="s">
        <v>637</v>
      </c>
      <c r="F14" s="891">
        <f>300/5000</f>
        <v>0.06</v>
      </c>
      <c r="G14" s="891">
        <f>F14</f>
        <v>0.06</v>
      </c>
      <c r="H14" s="896">
        <f>300/8000</f>
        <v>3.7499999999999999E-2</v>
      </c>
      <c r="I14" s="897">
        <f>H14</f>
        <v>3.7499999999999999E-2</v>
      </c>
      <c r="J14" s="524">
        <f>L_CBan!K50</f>
        <v>203562.65384615387</v>
      </c>
      <c r="K14" s="525">
        <f>I14*J14</f>
        <v>7633.5995192307701</v>
      </c>
      <c r="L14" s="525">
        <f>300/5000*J14</f>
        <v>12213.759230769232</v>
      </c>
      <c r="M14" s="532"/>
      <c r="N14" s="531"/>
    </row>
    <row r="15" spans="1:14" ht="24.75" customHeight="1">
      <c r="A15" s="516">
        <v>3</v>
      </c>
      <c r="B15" s="528" t="s">
        <v>647</v>
      </c>
      <c r="C15" s="531"/>
      <c r="D15" s="899"/>
      <c r="E15" s="531"/>
      <c r="F15" s="531"/>
      <c r="G15" s="531"/>
      <c r="H15" s="900"/>
      <c r="I15" s="897"/>
      <c r="J15" s="531"/>
      <c r="K15" s="537">
        <f>SUM(K16:K18)</f>
        <v>11704.852596153847</v>
      </c>
      <c r="L15" s="537">
        <f>SUM(L16:L18)</f>
        <v>17302.825576923078</v>
      </c>
      <c r="M15" s="532" t="s">
        <v>648</v>
      </c>
      <c r="N15" s="531"/>
    </row>
    <row r="16" spans="1:14" ht="21" customHeight="1">
      <c r="A16" s="893" t="s">
        <v>120</v>
      </c>
      <c r="B16" s="901" t="s">
        <v>644</v>
      </c>
      <c r="C16" s="893" t="s">
        <v>730</v>
      </c>
      <c r="D16" s="895" t="s">
        <v>48</v>
      </c>
      <c r="E16" s="515" t="s">
        <v>637</v>
      </c>
      <c r="F16" s="891">
        <f>F12</f>
        <v>1.2999999999999999E-2</v>
      </c>
      <c r="G16" s="891">
        <f>G12</f>
        <v>1.2999999999999999E-2</v>
      </c>
      <c r="H16" s="896">
        <f>100/8000</f>
        <v>1.2500000000000001E-2</v>
      </c>
      <c r="I16" s="897">
        <f>H16</f>
        <v>1.2500000000000001E-2</v>
      </c>
      <c r="J16" s="531">
        <f>L_CBan!K50</f>
        <v>203562.65384615387</v>
      </c>
      <c r="K16" s="524">
        <f>I16*J16</f>
        <v>2544.5331730769235</v>
      </c>
      <c r="L16" s="524">
        <f>65/5000*J16</f>
        <v>2646.3145000000004</v>
      </c>
      <c r="M16" s="532"/>
      <c r="N16" s="531"/>
    </row>
    <row r="17" spans="1:14" ht="49.5" customHeight="1">
      <c r="A17" s="893" t="s">
        <v>155</v>
      </c>
      <c r="B17" s="901" t="s">
        <v>645</v>
      </c>
      <c r="C17" s="893" t="s">
        <v>730</v>
      </c>
      <c r="D17" s="895" t="s">
        <v>48</v>
      </c>
      <c r="E17" s="515" t="s">
        <v>637</v>
      </c>
      <c r="F17" s="891">
        <f t="shared" ref="F17:G17" si="0">F13</f>
        <v>1.2E-2</v>
      </c>
      <c r="G17" s="891">
        <f t="shared" si="0"/>
        <v>1.2E-2</v>
      </c>
      <c r="H17" s="896">
        <f>60/8000</f>
        <v>7.4999999999999997E-3</v>
      </c>
      <c r="I17" s="897">
        <f>H17</f>
        <v>7.4999999999999997E-3</v>
      </c>
      <c r="J17" s="531">
        <f>L_CBan!K50</f>
        <v>203562.65384615387</v>
      </c>
      <c r="K17" s="524">
        <f>I17*J17</f>
        <v>1526.719903846154</v>
      </c>
      <c r="L17" s="524">
        <f>60/5000*J17</f>
        <v>2442.7518461538466</v>
      </c>
      <c r="M17" s="532"/>
      <c r="N17" s="531"/>
    </row>
    <row r="18" spans="1:14" ht="56.25" customHeight="1">
      <c r="A18" s="893" t="s">
        <v>139</v>
      </c>
      <c r="B18" s="901" t="s">
        <v>646</v>
      </c>
      <c r="C18" s="893" t="s">
        <v>730</v>
      </c>
      <c r="D18" s="895" t="s">
        <v>48</v>
      </c>
      <c r="E18" s="515" t="s">
        <v>637</v>
      </c>
      <c r="F18" s="891">
        <f t="shared" ref="F18:G18" si="1">F14</f>
        <v>0.06</v>
      </c>
      <c r="G18" s="891">
        <f t="shared" si="1"/>
        <v>0.06</v>
      </c>
      <c r="H18" s="896">
        <f>300/8000</f>
        <v>3.7499999999999999E-2</v>
      </c>
      <c r="I18" s="897">
        <f>H18</f>
        <v>3.7499999999999999E-2</v>
      </c>
      <c r="J18" s="531">
        <f>L_CBan!K50</f>
        <v>203562.65384615387</v>
      </c>
      <c r="K18" s="524">
        <f>I18*J18</f>
        <v>7633.5995192307701</v>
      </c>
      <c r="L18" s="524">
        <f>300/5000*J18</f>
        <v>12213.759230769232</v>
      </c>
      <c r="M18" s="532"/>
      <c r="N18" s="531"/>
    </row>
    <row r="19" spans="1:14" ht="63">
      <c r="A19" s="518">
        <v>4</v>
      </c>
      <c r="B19" s="519" t="s">
        <v>649</v>
      </c>
      <c r="C19" s="513"/>
      <c r="D19" s="902"/>
      <c r="E19" s="513"/>
      <c r="F19" s="513"/>
      <c r="G19" s="513"/>
      <c r="H19" s="903"/>
      <c r="I19" s="904"/>
      <c r="J19" s="513"/>
      <c r="K19" s="513"/>
      <c r="L19" s="513"/>
      <c r="M19" s="905"/>
      <c r="N19" s="513"/>
    </row>
    <row r="20" spans="1:14" ht="15.75">
      <c r="E20" s="516"/>
      <c r="F20" s="541"/>
      <c r="G20" s="541"/>
      <c r="H20" s="535"/>
      <c r="M20" s="517"/>
    </row>
  </sheetData>
  <mergeCells count="5">
    <mergeCell ref="F5:G5"/>
    <mergeCell ref="H5:I5"/>
    <mergeCell ref="A2:H2"/>
    <mergeCell ref="F3:G3"/>
    <mergeCell ref="H3:I3"/>
  </mergeCell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1"/>
  <sheetViews>
    <sheetView zoomScale="70" zoomScaleNormal="70" workbookViewId="0">
      <selection activeCell="G8" sqref="G8"/>
    </sheetView>
  </sheetViews>
  <sheetFormatPr defaultColWidth="8.875" defaultRowHeight="60.75" customHeight="1"/>
  <cols>
    <col min="1" max="1" width="4.375" style="375" bestFit="1" customWidth="1"/>
    <col min="2" max="2" width="53.375" style="375" customWidth="1"/>
    <col min="3" max="3" width="10" style="375" customWidth="1"/>
    <col min="4" max="4" width="9.375" style="375" customWidth="1"/>
    <col min="5" max="6" width="9" style="375" bestFit="1" customWidth="1"/>
    <col min="7" max="7" width="9.875" style="375" bestFit="1" customWidth="1"/>
    <col min="8" max="8" width="9" style="375" bestFit="1" customWidth="1"/>
    <col min="9" max="10" width="8.875" style="375"/>
    <col min="11" max="11" width="15.875" style="375" customWidth="1"/>
    <col min="12" max="16384" width="8.875" style="375"/>
  </cols>
  <sheetData>
    <row r="1" spans="1:11" ht="32.25" customHeight="1">
      <c r="A1" s="2019" t="s">
        <v>177</v>
      </c>
      <c r="B1" s="2019"/>
      <c r="C1" s="2019"/>
      <c r="D1" s="2019"/>
    </row>
    <row r="2" spans="1:11" ht="31.5">
      <c r="A2" s="306" t="s">
        <v>9</v>
      </c>
      <c r="B2" s="371" t="s">
        <v>109</v>
      </c>
      <c r="C2" s="371" t="s">
        <v>20</v>
      </c>
      <c r="D2" s="306" t="s">
        <v>7</v>
      </c>
      <c r="E2" s="308" t="s">
        <v>110</v>
      </c>
      <c r="F2" s="308" t="s">
        <v>111</v>
      </c>
      <c r="G2" s="373" t="s">
        <v>100</v>
      </c>
      <c r="H2" s="359" t="s">
        <v>19</v>
      </c>
      <c r="I2" s="308" t="s">
        <v>6</v>
      </c>
      <c r="J2" s="376" t="s">
        <v>61</v>
      </c>
      <c r="K2" s="302">
        <v>8000</v>
      </c>
    </row>
    <row r="3" spans="1:11" ht="33">
      <c r="A3" s="377" t="s">
        <v>785</v>
      </c>
      <c r="B3" s="385" t="s">
        <v>731</v>
      </c>
      <c r="C3" s="378" t="s">
        <v>181</v>
      </c>
      <c r="D3" s="377" t="s">
        <v>796</v>
      </c>
      <c r="E3" s="379">
        <f>4.5*30%/300</f>
        <v>4.4999999999999997E-3</v>
      </c>
      <c r="F3" s="380">
        <f t="shared" ref="F3:F6" si="0">E3*2</f>
        <v>8.9999999999999993E-3</v>
      </c>
      <c r="G3" s="381">
        <f>(L_CBan!K45+L_CBan!K39)/2</f>
        <v>184807.27884615384</v>
      </c>
      <c r="H3" s="381">
        <f t="shared" ref="H3:H6" si="1">F3*G3</f>
        <v>1663.2655096153844</v>
      </c>
      <c r="I3" s="382"/>
      <c r="J3" s="383"/>
      <c r="K3" s="384">
        <f t="shared" ref="K3:K7" si="2">H3*$K$2</f>
        <v>13306124.076923076</v>
      </c>
    </row>
    <row r="4" spans="1:11" ht="33">
      <c r="A4" s="377" t="s">
        <v>786</v>
      </c>
      <c r="B4" s="385" t="s">
        <v>178</v>
      </c>
      <c r="C4" s="378" t="s">
        <v>181</v>
      </c>
      <c r="D4" s="377" t="s">
        <v>796</v>
      </c>
      <c r="E4" s="379">
        <f>0.23/300</f>
        <v>7.6666666666666669E-4</v>
      </c>
      <c r="F4" s="380">
        <f t="shared" si="0"/>
        <v>1.5333333333333334E-3</v>
      </c>
      <c r="G4" s="381">
        <f>(L_CBan!K45+L_CBan!K39)/2</f>
        <v>184807.27884615384</v>
      </c>
      <c r="H4" s="381">
        <f t="shared" si="1"/>
        <v>283.37116089743591</v>
      </c>
      <c r="I4" s="382"/>
      <c r="J4" s="383"/>
      <c r="K4" s="384">
        <f t="shared" si="2"/>
        <v>2266969.2871794873</v>
      </c>
    </row>
    <row r="5" spans="1:11" ht="33">
      <c r="A5" s="377" t="s">
        <v>808</v>
      </c>
      <c r="B5" s="385" t="s">
        <v>179</v>
      </c>
      <c r="C5" s="378" t="s">
        <v>181</v>
      </c>
      <c r="D5" s="377" t="s">
        <v>796</v>
      </c>
      <c r="E5" s="379">
        <f>0.11/300</f>
        <v>3.6666666666666667E-4</v>
      </c>
      <c r="F5" s="380">
        <f t="shared" si="0"/>
        <v>7.3333333333333334E-4</v>
      </c>
      <c r="G5" s="381">
        <f>(L_CBan!K45+L_CBan!K39)/2</f>
        <v>184807.27884615384</v>
      </c>
      <c r="H5" s="381">
        <f t="shared" si="1"/>
        <v>135.52533782051282</v>
      </c>
      <c r="I5" s="382"/>
      <c r="J5" s="383"/>
      <c r="K5" s="384">
        <f t="shared" si="2"/>
        <v>1084202.7025641026</v>
      </c>
    </row>
    <row r="6" spans="1:11" ht="33">
      <c r="A6" s="377" t="s">
        <v>809</v>
      </c>
      <c r="B6" s="385" t="s">
        <v>732</v>
      </c>
      <c r="C6" s="378" t="s">
        <v>181</v>
      </c>
      <c r="D6" s="377" t="s">
        <v>796</v>
      </c>
      <c r="E6" s="379">
        <f>0.72/300/2</f>
        <v>1.1999999999999999E-3</v>
      </c>
      <c r="F6" s="380">
        <f t="shared" si="0"/>
        <v>2.3999999999999998E-3</v>
      </c>
      <c r="G6" s="381">
        <f>(L_CBan!K45+L_CBan!K39)/2</f>
        <v>184807.27884615384</v>
      </c>
      <c r="H6" s="381">
        <f t="shared" si="1"/>
        <v>443.5374692307692</v>
      </c>
      <c r="I6" s="382"/>
      <c r="J6" s="383"/>
      <c r="K6" s="384">
        <f t="shared" si="2"/>
        <v>3548299.7538461536</v>
      </c>
    </row>
    <row r="7" spans="1:11" ht="60.75" customHeight="1">
      <c r="H7" s="992">
        <f>SUM(H3:H6)</f>
        <v>2525.6994775641024</v>
      </c>
      <c r="K7" s="1140">
        <f t="shared" si="2"/>
        <v>20205595.82051282</v>
      </c>
    </row>
    <row r="8" spans="1:11" ht="60.75" customHeight="1">
      <c r="B8" s="385" t="s">
        <v>182</v>
      </c>
    </row>
    <row r="9" spans="1:11" ht="60.75" customHeight="1">
      <c r="B9" s="385" t="s">
        <v>178</v>
      </c>
    </row>
    <row r="10" spans="1:11" ht="60.75" customHeight="1">
      <c r="B10" s="385" t="s">
        <v>179</v>
      </c>
    </row>
    <row r="11" spans="1:11" ht="60.75" customHeight="1">
      <c r="B11" s="385" t="s">
        <v>661</v>
      </c>
    </row>
  </sheetData>
  <mergeCells count="1">
    <mergeCell ref="A1:D1"/>
  </mergeCells>
  <pageMargins left="0.7" right="0.7" top="0.75" bottom="0.75" header="0.3" footer="0.3"/>
  <pageSetup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I35"/>
  <sheetViews>
    <sheetView topLeftCell="A18" workbookViewId="0">
      <selection activeCell="B12" sqref="B12"/>
    </sheetView>
  </sheetViews>
  <sheetFormatPr defaultRowHeight="15"/>
  <cols>
    <col min="1" max="1" width="3.875" bestFit="1" customWidth="1"/>
    <col min="2" max="2" width="44.25" customWidth="1"/>
    <col min="4" max="5" width="8.875" customWidth="1"/>
    <col min="6" max="6" width="16.125" customWidth="1"/>
    <col min="9" max="9" width="11.375" bestFit="1" customWidth="1"/>
  </cols>
  <sheetData>
    <row r="3" spans="1:9" s="488" customFormat="1" ht="31.5">
      <c r="A3" s="453" t="s">
        <v>14</v>
      </c>
      <c r="B3" s="453" t="s">
        <v>3</v>
      </c>
      <c r="C3" s="453" t="s">
        <v>20</v>
      </c>
      <c r="D3" s="453" t="s">
        <v>100</v>
      </c>
      <c r="E3" s="448" t="s">
        <v>17</v>
      </c>
      <c r="F3" s="448" t="s">
        <v>19</v>
      </c>
      <c r="G3" s="485"/>
      <c r="H3" s="486"/>
      <c r="I3" s="487" t="s">
        <v>628</v>
      </c>
    </row>
    <row r="4" spans="1:9" s="488" customFormat="1" ht="15.75">
      <c r="A4" s="454">
        <v>1</v>
      </c>
      <c r="B4" s="489" t="s">
        <v>618</v>
      </c>
      <c r="C4" s="490" t="s">
        <v>619</v>
      </c>
      <c r="D4" s="491">
        <f>Gia_VLieu!D4</f>
        <v>45000</v>
      </c>
      <c r="E4" s="492">
        <v>0.02</v>
      </c>
      <c r="F4" s="493">
        <f>E4*D4</f>
        <v>900</v>
      </c>
      <c r="G4" s="494"/>
      <c r="H4" s="495"/>
      <c r="I4" s="491">
        <f>Gia_VLieu!I4</f>
        <v>0</v>
      </c>
    </row>
    <row r="5" spans="1:9" s="488" customFormat="1" ht="15.75">
      <c r="A5" s="8">
        <f>A4+1</f>
        <v>2</v>
      </c>
      <c r="B5" s="465" t="s">
        <v>620</v>
      </c>
      <c r="C5" s="8" t="s">
        <v>172</v>
      </c>
      <c r="D5" s="461">
        <f>Gia_VLieu!D5</f>
        <v>1450000</v>
      </c>
      <c r="E5" s="496">
        <v>1.4E-2</v>
      </c>
      <c r="F5" s="497">
        <f t="shared" ref="F5:F24" si="0">E5*D5</f>
        <v>20300</v>
      </c>
      <c r="G5" s="494"/>
      <c r="H5" s="495"/>
      <c r="I5" s="461">
        <f>Gia_VLieu!I5</f>
        <v>0</v>
      </c>
    </row>
    <row r="6" spans="1:9" s="488" customFormat="1" ht="15.75">
      <c r="A6" s="8">
        <f>A5+1</f>
        <v>3</v>
      </c>
      <c r="B6" s="465" t="s">
        <v>621</v>
      </c>
      <c r="C6" s="8" t="s">
        <v>172</v>
      </c>
      <c r="D6" s="461">
        <f>Gia_VLieu!D6</f>
        <v>250000</v>
      </c>
      <c r="E6" s="496">
        <v>2.8000000000000001E-2</v>
      </c>
      <c r="F6" s="497">
        <f t="shared" si="0"/>
        <v>7000</v>
      </c>
      <c r="G6" s="494"/>
      <c r="H6" s="495"/>
      <c r="I6" s="461">
        <f>Gia_VLieu!I6</f>
        <v>0</v>
      </c>
    </row>
    <row r="7" spans="1:9" s="488" customFormat="1" ht="15.75">
      <c r="A7" s="8">
        <f t="shared" ref="A7:A24" si="1">A6+1</f>
        <v>4</v>
      </c>
      <c r="B7" s="465" t="s">
        <v>622</v>
      </c>
      <c r="C7" s="8" t="s">
        <v>195</v>
      </c>
      <c r="D7" s="461">
        <v>36000</v>
      </c>
      <c r="E7" s="496">
        <v>5.0000000000000001E-3</v>
      </c>
      <c r="F7" s="497">
        <f t="shared" si="0"/>
        <v>180</v>
      </c>
      <c r="G7" s="494"/>
      <c r="H7" s="495"/>
      <c r="I7" s="461">
        <v>36000</v>
      </c>
    </row>
    <row r="8" spans="1:9" s="488" customFormat="1" ht="15.75">
      <c r="A8" s="8">
        <f t="shared" si="1"/>
        <v>5</v>
      </c>
      <c r="B8" s="465" t="s">
        <v>196</v>
      </c>
      <c r="C8" s="8" t="s">
        <v>623</v>
      </c>
      <c r="D8" s="461">
        <v>30000</v>
      </c>
      <c r="E8" s="480">
        <v>0.05</v>
      </c>
      <c r="F8" s="497">
        <f t="shared" si="0"/>
        <v>1500</v>
      </c>
      <c r="H8" s="495"/>
      <c r="I8" s="461">
        <v>30000</v>
      </c>
    </row>
    <row r="9" spans="1:9" s="488" customFormat="1" ht="15.75">
      <c r="A9" s="8">
        <f t="shared" si="1"/>
        <v>6</v>
      </c>
      <c r="B9" s="465" t="s">
        <v>21</v>
      </c>
      <c r="C9" s="8" t="s">
        <v>130</v>
      </c>
      <c r="D9" s="461">
        <f>Gia_VLieu!D8</f>
        <v>2000</v>
      </c>
      <c r="E9" s="480">
        <v>0.05</v>
      </c>
      <c r="F9" s="497">
        <f t="shared" si="0"/>
        <v>100</v>
      </c>
      <c r="H9" s="495"/>
      <c r="I9" s="461">
        <v>3000</v>
      </c>
    </row>
    <row r="10" spans="1:9" s="488" customFormat="1" ht="15.75">
      <c r="A10" s="8">
        <f t="shared" si="1"/>
        <v>7</v>
      </c>
      <c r="B10" s="465" t="s">
        <v>197</v>
      </c>
      <c r="C10" s="8" t="s">
        <v>130</v>
      </c>
      <c r="D10" s="461">
        <v>8000</v>
      </c>
      <c r="E10" s="480">
        <v>0.01</v>
      </c>
      <c r="F10" s="497">
        <f t="shared" si="0"/>
        <v>80</v>
      </c>
      <c r="H10" s="495"/>
      <c r="I10" s="461">
        <v>18000</v>
      </c>
    </row>
    <row r="11" spans="1:9" s="488" customFormat="1" ht="15.75">
      <c r="A11" s="8">
        <f t="shared" si="1"/>
        <v>8</v>
      </c>
      <c r="B11" s="465" t="s">
        <v>198</v>
      </c>
      <c r="C11" s="8" t="s">
        <v>130</v>
      </c>
      <c r="D11" s="461">
        <v>1000</v>
      </c>
      <c r="E11" s="480">
        <v>0.01</v>
      </c>
      <c r="F11" s="497">
        <f t="shared" si="0"/>
        <v>10</v>
      </c>
      <c r="H11" s="495"/>
      <c r="I11" s="461">
        <v>5000</v>
      </c>
    </row>
    <row r="12" spans="1:9" s="488" customFormat="1" ht="15.75">
      <c r="A12" s="8">
        <f t="shared" si="1"/>
        <v>9</v>
      </c>
      <c r="B12" s="465" t="s">
        <v>199</v>
      </c>
      <c r="C12" s="8" t="s">
        <v>130</v>
      </c>
      <c r="D12" s="461">
        <v>15000</v>
      </c>
      <c r="E12" s="480">
        <v>0.01</v>
      </c>
      <c r="F12" s="497">
        <f t="shared" si="0"/>
        <v>150</v>
      </c>
      <c r="H12" s="495"/>
      <c r="I12" s="461">
        <v>20000</v>
      </c>
    </row>
    <row r="13" spans="1:9" s="488" customFormat="1" ht="15.75">
      <c r="A13" s="8">
        <f t="shared" si="1"/>
        <v>10</v>
      </c>
      <c r="B13" s="465" t="s">
        <v>200</v>
      </c>
      <c r="C13" s="8" t="s">
        <v>130</v>
      </c>
      <c r="D13" s="461">
        <v>21000</v>
      </c>
      <c r="E13" s="480">
        <v>0.01</v>
      </c>
      <c r="F13" s="497">
        <f t="shared" si="0"/>
        <v>210</v>
      </c>
      <c r="H13" s="495"/>
      <c r="I13" s="461">
        <v>21000</v>
      </c>
    </row>
    <row r="14" spans="1:9" s="488" customFormat="1" ht="15.75">
      <c r="A14" s="8">
        <v>11</v>
      </c>
      <c r="B14" s="465" t="s">
        <v>201</v>
      </c>
      <c r="C14" s="8" t="s">
        <v>130</v>
      </c>
      <c r="D14" s="461">
        <v>15000</v>
      </c>
      <c r="E14" s="480">
        <v>0.92</v>
      </c>
      <c r="F14" s="497">
        <f t="shared" si="0"/>
        <v>13800</v>
      </c>
      <c r="G14" s="494"/>
      <c r="H14" s="495"/>
      <c r="I14" s="461">
        <v>15000</v>
      </c>
    </row>
    <row r="15" spans="1:9" s="488" customFormat="1" ht="15.75">
      <c r="A15" s="8">
        <f t="shared" si="1"/>
        <v>12</v>
      </c>
      <c r="B15" s="465" t="s">
        <v>202</v>
      </c>
      <c r="C15" s="8" t="s">
        <v>130</v>
      </c>
      <c r="D15" s="461">
        <v>30000</v>
      </c>
      <c r="E15" s="480">
        <v>0.01</v>
      </c>
      <c r="F15" s="497">
        <f t="shared" si="0"/>
        <v>300</v>
      </c>
      <c r="H15" s="495"/>
      <c r="I15" s="461">
        <v>35000</v>
      </c>
    </row>
    <row r="16" spans="1:9" s="488" customFormat="1" ht="15.75">
      <c r="A16" s="8">
        <f t="shared" si="1"/>
        <v>13</v>
      </c>
      <c r="B16" s="465" t="s">
        <v>203</v>
      </c>
      <c r="C16" s="8" t="s">
        <v>130</v>
      </c>
      <c r="D16" s="461">
        <v>5000</v>
      </c>
      <c r="E16" s="480">
        <v>0.02</v>
      </c>
      <c r="F16" s="497">
        <f t="shared" si="0"/>
        <v>100</v>
      </c>
      <c r="H16" s="495"/>
      <c r="I16" s="461">
        <v>10000</v>
      </c>
    </row>
    <row r="17" spans="1:9" s="488" customFormat="1" ht="15.75">
      <c r="A17" s="8">
        <f t="shared" si="1"/>
        <v>14</v>
      </c>
      <c r="B17" s="465" t="s">
        <v>50</v>
      </c>
      <c r="C17" s="8" t="s">
        <v>130</v>
      </c>
      <c r="D17" s="461">
        <v>35000</v>
      </c>
      <c r="E17" s="480">
        <v>10</v>
      </c>
      <c r="F17" s="497">
        <f t="shared" si="0"/>
        <v>350000</v>
      </c>
      <c r="G17" s="494"/>
      <c r="H17" s="495"/>
      <c r="I17" s="461">
        <v>35000</v>
      </c>
    </row>
    <row r="18" spans="1:9" s="488" customFormat="1" ht="15.75">
      <c r="A18" s="8">
        <f t="shared" si="1"/>
        <v>15</v>
      </c>
      <c r="B18" s="465" t="s">
        <v>204</v>
      </c>
      <c r="C18" s="8" t="s">
        <v>172</v>
      </c>
      <c r="D18" s="461">
        <v>6000</v>
      </c>
      <c r="E18" s="480">
        <v>0.02</v>
      </c>
      <c r="F18" s="497">
        <f t="shared" si="0"/>
        <v>120</v>
      </c>
      <c r="G18" s="494"/>
      <c r="H18" s="495"/>
      <c r="I18" s="461">
        <v>6000</v>
      </c>
    </row>
    <row r="19" spans="1:9" s="488" customFormat="1" ht="15.75">
      <c r="A19" s="8">
        <f t="shared" si="1"/>
        <v>16</v>
      </c>
      <c r="B19" s="465" t="s">
        <v>624</v>
      </c>
      <c r="C19" s="8" t="s">
        <v>172</v>
      </c>
      <c r="D19" s="461">
        <v>7400</v>
      </c>
      <c r="E19" s="480">
        <v>0.1</v>
      </c>
      <c r="F19" s="497">
        <f t="shared" si="0"/>
        <v>740</v>
      </c>
      <c r="G19" s="494"/>
      <c r="H19" s="495"/>
      <c r="I19" s="461">
        <v>7400</v>
      </c>
    </row>
    <row r="20" spans="1:9" s="488" customFormat="1" ht="15.75">
      <c r="A20" s="8">
        <f t="shared" si="1"/>
        <v>17</v>
      </c>
      <c r="B20" s="465" t="s">
        <v>205</v>
      </c>
      <c r="C20" s="8" t="s">
        <v>130</v>
      </c>
      <c r="D20" s="461">
        <v>6000</v>
      </c>
      <c r="E20" s="480">
        <v>0.1</v>
      </c>
      <c r="F20" s="497">
        <f t="shared" si="0"/>
        <v>600</v>
      </c>
      <c r="G20" s="494"/>
      <c r="H20" s="495"/>
      <c r="I20" s="461">
        <v>6000</v>
      </c>
    </row>
    <row r="21" spans="1:9" s="488" customFormat="1" ht="15.75">
      <c r="A21" s="8">
        <f t="shared" si="1"/>
        <v>18</v>
      </c>
      <c r="B21" s="465" t="s">
        <v>625</v>
      </c>
      <c r="C21" s="8" t="s">
        <v>130</v>
      </c>
      <c r="D21" s="461">
        <v>15000</v>
      </c>
      <c r="E21" s="480">
        <v>0.02</v>
      </c>
      <c r="F21" s="497">
        <f t="shared" si="0"/>
        <v>300</v>
      </c>
      <c r="G21" s="494"/>
      <c r="H21" s="495"/>
      <c r="I21" s="461">
        <v>15000</v>
      </c>
    </row>
    <row r="22" spans="1:9" s="488" customFormat="1" ht="15.75">
      <c r="A22" s="8">
        <f t="shared" si="1"/>
        <v>19</v>
      </c>
      <c r="B22" s="465" t="s">
        <v>206</v>
      </c>
      <c r="C22" s="8" t="s">
        <v>207</v>
      </c>
      <c r="D22" s="461">
        <v>250</v>
      </c>
      <c r="E22" s="480">
        <v>300</v>
      </c>
      <c r="F22" s="497">
        <f t="shared" si="0"/>
        <v>75000</v>
      </c>
      <c r="H22" s="495"/>
      <c r="I22" s="461">
        <v>3000</v>
      </c>
    </row>
    <row r="23" spans="1:9" s="488" customFormat="1" ht="15.75">
      <c r="A23" s="8">
        <f t="shared" si="1"/>
        <v>20</v>
      </c>
      <c r="B23" s="498" t="s">
        <v>208</v>
      </c>
      <c r="C23" s="208" t="s">
        <v>195</v>
      </c>
      <c r="D23" s="499">
        <v>5000</v>
      </c>
      <c r="E23" s="500">
        <v>0.02</v>
      </c>
      <c r="F23" s="497">
        <f t="shared" si="0"/>
        <v>100</v>
      </c>
      <c r="H23" s="495"/>
      <c r="I23" s="499">
        <v>5000</v>
      </c>
    </row>
    <row r="24" spans="1:9" s="488" customFormat="1" ht="15.75">
      <c r="A24" s="8">
        <f t="shared" si="1"/>
        <v>21</v>
      </c>
      <c r="B24" s="501" t="s">
        <v>626</v>
      </c>
      <c r="C24" s="59" t="s">
        <v>130</v>
      </c>
      <c r="D24" s="502">
        <v>15000</v>
      </c>
      <c r="E24" s="484">
        <v>0.1</v>
      </c>
      <c r="F24" s="497">
        <f t="shared" si="0"/>
        <v>1500</v>
      </c>
      <c r="G24" s="494"/>
      <c r="H24" s="495"/>
      <c r="I24" s="502">
        <v>15000</v>
      </c>
    </row>
    <row r="25" spans="1:9" s="488" customFormat="1" ht="15.75">
      <c r="A25" s="503"/>
      <c r="B25" s="504" t="s">
        <v>733</v>
      </c>
      <c r="C25" s="503"/>
      <c r="D25" s="309"/>
      <c r="E25" s="310"/>
      <c r="F25" s="505">
        <f>SUM(F4:F24)*1.08</f>
        <v>510829.2</v>
      </c>
      <c r="G25" s="506"/>
      <c r="H25" s="506"/>
      <c r="I25" s="507"/>
    </row>
    <row r="27" spans="1:9" ht="15.75">
      <c r="F27" s="508">
        <f>F25/250</f>
        <v>2043.3168000000001</v>
      </c>
    </row>
    <row r="28" spans="1:9" ht="15.75" thickBot="1"/>
    <row r="29" spans="1:9" ht="31.5">
      <c r="A29" s="227" t="s">
        <v>14</v>
      </c>
      <c r="B29" s="227" t="s">
        <v>133</v>
      </c>
      <c r="C29" s="228" t="s">
        <v>110</v>
      </c>
      <c r="D29" s="228" t="s">
        <v>28</v>
      </c>
      <c r="E29" s="227" t="s">
        <v>19</v>
      </c>
      <c r="F29" s="911"/>
    </row>
    <row r="30" spans="1:9" ht="31.5">
      <c r="A30" s="236" t="str">
        <f>'Sắp xêp HS'!A3</f>
        <v>3.5.1</v>
      </c>
      <c r="B30" s="391" t="str">
        <f>'Sắp xêp HS'!B3</f>
        <v>Biên mục hồ sơ (sắp xếp hồ sơ theo hướng dẫn; kẹp vào bìa hồ sơ; viết bìa hồ sơ)</v>
      </c>
      <c r="C30" s="910">
        <f>'Sắp xêp HS'!E3</f>
        <v>4.4999999999999997E-3</v>
      </c>
      <c r="D30" s="918">
        <f>C30/$C$34</f>
        <v>0.65853658536585369</v>
      </c>
      <c r="E30" s="907">
        <f>D30*$F$27</f>
        <v>1345.5988682926829</v>
      </c>
      <c r="F30" s="912"/>
    </row>
    <row r="31" spans="1:9" ht="31.5">
      <c r="A31" s="236" t="str">
        <f>'Sắp xêp HS'!A4</f>
        <v>3.5.2</v>
      </c>
      <c r="B31" s="391" t="str">
        <f>'Sắp xêp HS'!B4</f>
        <v>Vệ sinh, tháo bỏ ghim kẹp, làm phẳng tài liệu và vào bìa hồ sơ; đánh số chính thức lên bìa hồ sơ</v>
      </c>
      <c r="C31" s="910">
        <f>'Sắp xêp HS'!E4</f>
        <v>7.6666666666666669E-4</v>
      </c>
      <c r="D31" s="918">
        <f t="shared" ref="D31:D33" si="2">C31/$C$34</f>
        <v>0.11219512195121953</v>
      </c>
      <c r="E31" s="907">
        <f t="shared" ref="E31:E33" si="3">D31*$F$27</f>
        <v>229.25017756097566</v>
      </c>
      <c r="F31" s="913"/>
    </row>
    <row r="32" spans="1:9" ht="15.75">
      <c r="A32" s="236" t="str">
        <f>'Sắp xêp HS'!A5</f>
        <v>3.5.3</v>
      </c>
      <c r="B32" s="391" t="str">
        <f>'Sắp xêp HS'!B5</f>
        <v>Sắp xếp hồ sơ vào hộp; viết, dán nhãn hộp</v>
      </c>
      <c r="C32" s="910">
        <f>'Sắp xêp HS'!E5</f>
        <v>3.6666666666666667E-4</v>
      </c>
      <c r="D32" s="918">
        <f t="shared" si="2"/>
        <v>5.365853658536586E-2</v>
      </c>
      <c r="E32" s="907">
        <f t="shared" si="3"/>
        <v>109.6413892682927</v>
      </c>
      <c r="F32" s="913"/>
    </row>
    <row r="33" spans="1:6" ht="15.75">
      <c r="A33" s="236" t="str">
        <f>'Sắp xêp HS'!A6</f>
        <v>3.5.4</v>
      </c>
      <c r="B33" s="391" t="str">
        <f>'Sắp xêp HS'!B6</f>
        <v>Vận chuyển hồ sơ vào kho, xếp lên giá</v>
      </c>
      <c r="C33" s="910">
        <f>'Sắp xêp HS'!E6</f>
        <v>1.1999999999999999E-3</v>
      </c>
      <c r="D33" s="918">
        <f t="shared" si="2"/>
        <v>0.17560975609756097</v>
      </c>
      <c r="E33" s="907">
        <f t="shared" si="3"/>
        <v>358.82636487804876</v>
      </c>
      <c r="F33" s="913"/>
    </row>
    <row r="34" spans="1:6" ht="15.75">
      <c r="A34" s="236"/>
      <c r="B34" s="391"/>
      <c r="C34" s="910">
        <f>SUM(C30:C33)</f>
        <v>6.8333333333333328E-3</v>
      </c>
      <c r="D34" s="910">
        <f>SUM(D30:D33)</f>
        <v>1</v>
      </c>
      <c r="E34" s="909">
        <f>SUM(E30:E33)</f>
        <v>2043.3167999999998</v>
      </c>
      <c r="F34" s="914"/>
    </row>
    <row r="35" spans="1:6" ht="15.75">
      <c r="A35" s="236">
        <f>'DK bo sung'!A33</f>
        <v>0</v>
      </c>
      <c r="B35" s="391">
        <f>'DK bo sung'!B33</f>
        <v>0</v>
      </c>
      <c r="C35" s="545"/>
      <c r="D35" s="319"/>
      <c r="E35" s="414"/>
      <c r="F35" s="915"/>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
  <sheetViews>
    <sheetView zoomScale="85" zoomScaleNormal="85" workbookViewId="0">
      <selection activeCell="K9" sqref="K9"/>
    </sheetView>
  </sheetViews>
  <sheetFormatPr defaultColWidth="9" defaultRowHeight="15.75"/>
  <cols>
    <col min="1" max="1" width="4" style="3" bestFit="1" customWidth="1"/>
    <col min="2" max="2" width="15.375" style="4" customWidth="1"/>
    <col min="3" max="3" width="5.625" style="3" customWidth="1"/>
    <col min="4" max="4" width="6.625" style="3" bestFit="1" customWidth="1"/>
    <col min="5" max="5" width="6.5" style="4" customWidth="1"/>
    <col min="6" max="6" width="12.75" style="4" customWidth="1"/>
    <col min="7" max="7" width="8.25" style="3" customWidth="1"/>
    <col min="8" max="8" width="16.375" style="25" customWidth="1"/>
    <col min="9" max="16384" width="9" style="4"/>
  </cols>
  <sheetData>
    <row r="1" spans="1:8">
      <c r="A1" s="1857" t="s">
        <v>1120</v>
      </c>
      <c r="B1" s="1857"/>
      <c r="C1" s="1857"/>
      <c r="D1" s="1857"/>
      <c r="E1" s="1857"/>
      <c r="F1" s="1857"/>
      <c r="G1" s="1857"/>
      <c r="H1" s="1857"/>
    </row>
    <row r="2" spans="1:8">
      <c r="H2" s="47" t="s">
        <v>76</v>
      </c>
    </row>
    <row r="3" spans="1:8" s="6" customFormat="1" ht="78.75" customHeight="1">
      <c r="A3" s="1594" t="s">
        <v>14</v>
      </c>
      <c r="B3" s="1594" t="s">
        <v>16</v>
      </c>
      <c r="C3" s="1594" t="s">
        <v>20</v>
      </c>
      <c r="D3" s="1594" t="s">
        <v>4</v>
      </c>
      <c r="E3" s="1594" t="s">
        <v>5</v>
      </c>
      <c r="F3" s="1594" t="s">
        <v>18</v>
      </c>
      <c r="G3" s="1594" t="s">
        <v>0</v>
      </c>
      <c r="H3" s="373" t="s">
        <v>6</v>
      </c>
    </row>
    <row r="4" spans="1:8" s="5" customFormat="1">
      <c r="A4" s="8"/>
      <c r="B4" s="7"/>
      <c r="C4" s="8"/>
      <c r="D4" s="8"/>
      <c r="E4" s="8"/>
      <c r="F4" s="1658"/>
      <c r="G4" s="1659"/>
      <c r="H4" s="497"/>
    </row>
    <row r="5" spans="1:8" s="5" customFormat="1" ht="47.25">
      <c r="A5" s="8">
        <v>1</v>
      </c>
      <c r="B5" s="7" t="s">
        <v>982</v>
      </c>
      <c r="C5" s="8" t="s">
        <v>132</v>
      </c>
      <c r="D5" s="8"/>
      <c r="E5" s="8">
        <v>10</v>
      </c>
      <c r="F5" s="1658">
        <v>20881000</v>
      </c>
      <c r="G5" s="1659">
        <f>F5/E5/500</f>
        <v>4176.2</v>
      </c>
      <c r="H5" s="1674" t="s">
        <v>977</v>
      </c>
    </row>
    <row r="6" spans="1:8" s="5" customFormat="1" ht="47.25">
      <c r="A6" s="8">
        <v>2</v>
      </c>
      <c r="B6" s="7" t="s">
        <v>978</v>
      </c>
      <c r="C6" s="8" t="s">
        <v>132</v>
      </c>
      <c r="D6" s="8"/>
      <c r="E6" s="8">
        <v>10</v>
      </c>
      <c r="F6" s="1658">
        <f>17000*21000</f>
        <v>357000000</v>
      </c>
      <c r="G6" s="1659">
        <f>F6/E6/500</f>
        <v>71400</v>
      </c>
      <c r="H6" s="1674" t="s">
        <v>979</v>
      </c>
    </row>
    <row r="7" spans="1:8" s="5" customFormat="1" ht="47.25">
      <c r="A7" s="59">
        <v>3</v>
      </c>
      <c r="B7" s="58" t="s">
        <v>980</v>
      </c>
      <c r="C7" s="59" t="s">
        <v>132</v>
      </c>
      <c r="D7" s="59"/>
      <c r="E7" s="59">
        <v>5</v>
      </c>
      <c r="F7" s="1669">
        <f>7000*21000</f>
        <v>147000000</v>
      </c>
      <c r="G7" s="1675">
        <f t="shared" ref="G7" si="0">F7/E7/500</f>
        <v>58800</v>
      </c>
      <c r="H7" s="1676" t="s">
        <v>981</v>
      </c>
    </row>
    <row r="8" spans="1:8">
      <c r="G8" s="1408"/>
    </row>
  </sheetData>
  <mergeCells count="1">
    <mergeCell ref="A1:H1"/>
  </mergeCells>
  <printOptions horizontalCentered="1"/>
  <pageMargins left="0.90551181102362199" right="0.23622047244094499" top="0.761811024" bottom="0.511811023622047" header="0.511811023622047" footer="0.511811023622047"/>
  <pageSetup paperSize="9" orientation="portrait"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29"/>
  <sheetViews>
    <sheetView topLeftCell="A13" workbookViewId="0">
      <selection activeCell="B12" sqref="B12"/>
    </sheetView>
  </sheetViews>
  <sheetFormatPr defaultColWidth="8.875" defaultRowHeight="15"/>
  <cols>
    <col min="1" max="1" width="8.875" style="513"/>
    <col min="2" max="2" width="28.375" style="513" customWidth="1"/>
    <col min="3" max="4" width="8.875" style="513"/>
    <col min="5" max="5" width="8.875" style="513" customWidth="1"/>
    <col min="6" max="6" width="11.875" style="513" hidden="1" customWidth="1"/>
    <col min="7" max="7" width="12.375" style="513" hidden="1" customWidth="1"/>
    <col min="8" max="8" width="11.625" style="513" bestFit="1" customWidth="1"/>
    <col min="9" max="16384" width="8.875" style="513"/>
  </cols>
  <sheetData>
    <row r="2" spans="1:10" ht="15.75">
      <c r="A2" s="2005" t="s">
        <v>22</v>
      </c>
      <c r="B2" s="2005"/>
      <c r="C2" s="2005"/>
      <c r="D2" s="2005"/>
      <c r="E2" s="2005"/>
      <c r="F2" s="2005"/>
      <c r="G2" s="2005"/>
      <c r="H2" s="2005"/>
      <c r="I2" s="2005"/>
    </row>
    <row r="3" spans="1:10" ht="16.5" thickBot="1">
      <c r="A3" s="851"/>
      <c r="B3" s="290"/>
      <c r="C3" s="852"/>
      <c r="D3" s="290"/>
      <c r="E3" s="290"/>
      <c r="F3" s="853"/>
      <c r="G3" s="854"/>
      <c r="H3" s="855" t="s">
        <v>70</v>
      </c>
      <c r="I3" s="856" t="s">
        <v>69</v>
      </c>
    </row>
    <row r="4" spans="1:10" ht="47.25">
      <c r="A4" s="324" t="s">
        <v>14</v>
      </c>
      <c r="B4" s="252" t="s">
        <v>16</v>
      </c>
      <c r="C4" s="253" t="s">
        <v>20</v>
      </c>
      <c r="D4" s="253" t="s">
        <v>4</v>
      </c>
      <c r="E4" s="253" t="s">
        <v>5</v>
      </c>
      <c r="F4" s="254" t="s">
        <v>18</v>
      </c>
      <c r="G4" s="254" t="s">
        <v>0</v>
      </c>
      <c r="H4" s="255" t="s">
        <v>17</v>
      </c>
      <c r="I4" s="256" t="s">
        <v>72</v>
      </c>
    </row>
    <row r="5" spans="1:10" ht="47.25">
      <c r="A5" s="858" t="str">
        <f>'Sắp xêp HS'!A3</f>
        <v>3.5.1</v>
      </c>
      <c r="B5" s="859" t="str">
        <f>'VLieu Xep HS'!B30</f>
        <v>Biên mục hồ sơ (sắp xếp hồ sơ theo hướng dẫn; kẹp vào bìa hồ sơ; viết bìa hồ sơ)</v>
      </c>
      <c r="C5" s="269"/>
      <c r="D5" s="270"/>
      <c r="E5" s="860"/>
      <c r="F5" s="861"/>
      <c r="G5" s="861"/>
      <c r="H5" s="923"/>
      <c r="I5" s="335">
        <f>SUM(I6:I9)</f>
        <v>25.056000000000001</v>
      </c>
    </row>
    <row r="6" spans="1:10" ht="15.75">
      <c r="A6" s="325"/>
      <c r="B6" s="258" t="s">
        <v>73</v>
      </c>
      <c r="C6" s="259" t="s">
        <v>130</v>
      </c>
      <c r="D6" s="259">
        <f>Gia_Tbi!D4</f>
        <v>0.4</v>
      </c>
      <c r="E6" s="259">
        <f>Gia_Tbi!E4</f>
        <v>5</v>
      </c>
      <c r="F6" s="441">
        <f>Gia_Tbi!F4</f>
        <v>10000000</v>
      </c>
      <c r="G6" s="441">
        <f>Gia_Tbi!G4</f>
        <v>4000</v>
      </c>
      <c r="H6" s="924">
        <f>'Nhân công'!E9*80%</f>
        <v>4.3200000000000001E-3</v>
      </c>
      <c r="I6" s="339">
        <f>G6*H6</f>
        <v>17.28</v>
      </c>
    </row>
    <row r="7" spans="1:10" ht="15.75">
      <c r="A7" s="8" t="s">
        <v>614</v>
      </c>
      <c r="B7" s="7" t="s">
        <v>615</v>
      </c>
      <c r="C7" s="8" t="s">
        <v>130</v>
      </c>
      <c r="D7" s="259">
        <f>Gia_Tbi!D5</f>
        <v>0.6</v>
      </c>
      <c r="E7" s="259">
        <f>Gia_Tbi!E5</f>
        <v>5</v>
      </c>
      <c r="F7" s="441">
        <f>Gia_Tbi!F6</f>
        <v>12000000</v>
      </c>
      <c r="G7" s="441">
        <f>Gia_Tbi!G6</f>
        <v>3000</v>
      </c>
      <c r="H7" s="922">
        <f>H6/3</f>
        <v>1.4400000000000001E-3</v>
      </c>
      <c r="I7" s="339">
        <f t="shared" ref="I7:I10" si="0">G7*H7</f>
        <v>4.32</v>
      </c>
    </row>
    <row r="8" spans="1:10" ht="15.75">
      <c r="A8" s="8"/>
      <c r="B8" s="481" t="s">
        <v>616</v>
      </c>
      <c r="C8" s="8" t="s">
        <v>130</v>
      </c>
      <c r="D8" s="259">
        <f>Gia_Tbi!D6</f>
        <v>2.2000000000000002</v>
      </c>
      <c r="E8" s="259">
        <f>Gia_Tbi!E6</f>
        <v>8</v>
      </c>
      <c r="F8" s="441">
        <f>Gia_Tbi!F7</f>
        <v>44000000</v>
      </c>
      <c r="G8" s="441">
        <f>Gia_Tbi!G7</f>
        <v>11000</v>
      </c>
      <c r="H8" s="922">
        <f>H6/15</f>
        <v>2.8800000000000001E-4</v>
      </c>
      <c r="I8" s="339">
        <f t="shared" si="0"/>
        <v>3.1680000000000001</v>
      </c>
    </row>
    <row r="9" spans="1:10" ht="15.75">
      <c r="A9" s="8"/>
      <c r="B9" s="7" t="s">
        <v>74</v>
      </c>
      <c r="C9" s="8" t="s">
        <v>130</v>
      </c>
      <c r="D9" s="259">
        <f>Gia_Tbi!D7</f>
        <v>1.5</v>
      </c>
      <c r="E9" s="259">
        <f>Gia_Tbi!E7</f>
        <v>8</v>
      </c>
      <c r="F9" s="441">
        <f>Gia_Tbi!F5</f>
        <v>2500000</v>
      </c>
      <c r="G9" s="441">
        <f>Gia_Tbi!G5</f>
        <v>1000</v>
      </c>
      <c r="H9" s="922">
        <f>H6/15</f>
        <v>2.8800000000000001E-4</v>
      </c>
      <c r="I9" s="339">
        <f t="shared" si="0"/>
        <v>0.28800000000000003</v>
      </c>
    </row>
    <row r="10" spans="1:10" ht="15.75">
      <c r="A10" s="482"/>
      <c r="B10" s="483" t="s">
        <v>8</v>
      </c>
      <c r="C10" s="59" t="s">
        <v>617</v>
      </c>
      <c r="D10" s="59"/>
      <c r="E10" s="484"/>
      <c r="F10" s="919">
        <f>Gia_Tbi!F13</f>
        <v>1686</v>
      </c>
      <c r="G10" s="919">
        <f>Gia_Tbi!G13</f>
        <v>13488</v>
      </c>
      <c r="H10" s="921">
        <f>H6*D6+H7*D7+H8*D8+H9*D9</f>
        <v>3.6576000000000004E-3</v>
      </c>
      <c r="I10" s="339">
        <f t="shared" si="0"/>
        <v>49.333708800000004</v>
      </c>
      <c r="J10" s="925">
        <f>I10</f>
        <v>49.333708800000004</v>
      </c>
    </row>
    <row r="11" spans="1:10" ht="47.25">
      <c r="A11" s="858" t="str">
        <f>'Sắp xêp HS'!A4</f>
        <v>3.5.2</v>
      </c>
      <c r="B11" s="859" t="str">
        <f>'Sắp xêp HS'!B4</f>
        <v>Vệ sinh, tháo bỏ ghim kẹp, làm phẳng tài liệu và vào bìa hồ sơ; đánh số chính thức lên bìa hồ sơ</v>
      </c>
      <c r="C11" s="269"/>
      <c r="D11" s="270"/>
      <c r="E11" s="860"/>
      <c r="F11" s="926"/>
      <c r="G11" s="926"/>
      <c r="H11" s="927"/>
      <c r="I11" s="335">
        <f>SUM(I12:I15)</f>
        <v>3.5573333333333337</v>
      </c>
    </row>
    <row r="12" spans="1:10" ht="15.75">
      <c r="A12" s="325"/>
      <c r="B12" s="258" t="s">
        <v>73</v>
      </c>
      <c r="C12" s="259" t="s">
        <v>130</v>
      </c>
      <c r="D12" s="259">
        <f>D6</f>
        <v>0.4</v>
      </c>
      <c r="E12" s="259">
        <f t="shared" ref="E12:G12" si="1">E6</f>
        <v>5</v>
      </c>
      <c r="F12" s="441">
        <f t="shared" si="1"/>
        <v>10000000</v>
      </c>
      <c r="G12" s="441">
        <f t="shared" si="1"/>
        <v>4000</v>
      </c>
      <c r="H12" s="924">
        <f>'Sắp xêp HS'!E4*80%</f>
        <v>6.1333333333333335E-4</v>
      </c>
      <c r="I12" s="339">
        <f>G12*H12</f>
        <v>2.4533333333333336</v>
      </c>
    </row>
    <row r="13" spans="1:10" ht="15.75">
      <c r="A13" s="8" t="s">
        <v>614</v>
      </c>
      <c r="B13" s="7" t="s">
        <v>615</v>
      </c>
      <c r="C13" s="8" t="s">
        <v>130</v>
      </c>
      <c r="D13" s="259">
        <f t="shared" ref="D13:G13" si="2">D7</f>
        <v>0.6</v>
      </c>
      <c r="E13" s="259">
        <f t="shared" si="2"/>
        <v>5</v>
      </c>
      <c r="F13" s="441">
        <f t="shared" si="2"/>
        <v>12000000</v>
      </c>
      <c r="G13" s="441">
        <f t="shared" si="2"/>
        <v>3000</v>
      </c>
      <c r="H13" s="922">
        <f>H12/3</f>
        <v>2.0444444444444446E-4</v>
      </c>
      <c r="I13" s="339">
        <f t="shared" ref="I13:I16" si="3">G13*H13</f>
        <v>0.6133333333333334</v>
      </c>
    </row>
    <row r="14" spans="1:10" ht="15.75">
      <c r="A14" s="8"/>
      <c r="B14" s="481" t="s">
        <v>616</v>
      </c>
      <c r="C14" s="8" t="s">
        <v>130</v>
      </c>
      <c r="D14" s="259">
        <f t="shared" ref="D14:G14" si="4">D8</f>
        <v>2.2000000000000002</v>
      </c>
      <c r="E14" s="259">
        <f t="shared" si="4"/>
        <v>8</v>
      </c>
      <c r="F14" s="441">
        <f t="shared" si="4"/>
        <v>44000000</v>
      </c>
      <c r="G14" s="441">
        <f t="shared" si="4"/>
        <v>11000</v>
      </c>
      <c r="H14" s="922">
        <f>H12/15</f>
        <v>4.0888888888888892E-5</v>
      </c>
      <c r="I14" s="339">
        <f t="shared" si="3"/>
        <v>0.44977777777777783</v>
      </c>
    </row>
    <row r="15" spans="1:10" ht="15.75">
      <c r="A15" s="8"/>
      <c r="B15" s="7" t="s">
        <v>74</v>
      </c>
      <c r="C15" s="8" t="s">
        <v>130</v>
      </c>
      <c r="D15" s="259">
        <f t="shared" ref="D15:G15" si="5">D9</f>
        <v>1.5</v>
      </c>
      <c r="E15" s="259">
        <f t="shared" si="5"/>
        <v>8</v>
      </c>
      <c r="F15" s="441">
        <f t="shared" si="5"/>
        <v>2500000</v>
      </c>
      <c r="G15" s="441">
        <f t="shared" si="5"/>
        <v>1000</v>
      </c>
      <c r="H15" s="922">
        <f>H12/15</f>
        <v>4.0888888888888892E-5</v>
      </c>
      <c r="I15" s="339">
        <f t="shared" si="3"/>
        <v>4.0888888888888891E-2</v>
      </c>
    </row>
    <row r="16" spans="1:10" ht="15.75">
      <c r="A16" s="482"/>
      <c r="B16" s="483" t="s">
        <v>8</v>
      </c>
      <c r="C16" s="59" t="s">
        <v>617</v>
      </c>
      <c r="D16" s="259">
        <f t="shared" ref="D16:G16" si="6">D10</f>
        <v>0</v>
      </c>
      <c r="E16" s="259">
        <f t="shared" si="6"/>
        <v>0</v>
      </c>
      <c r="F16" s="441">
        <f t="shared" si="6"/>
        <v>1686</v>
      </c>
      <c r="G16" s="441">
        <f t="shared" si="6"/>
        <v>13488</v>
      </c>
      <c r="H16" s="921">
        <f>H12*D12+H13*D13+H14*D14+H15*D15</f>
        <v>5.1928888888888895E-4</v>
      </c>
      <c r="I16" s="339">
        <f t="shared" si="3"/>
        <v>7.0041685333333339</v>
      </c>
      <c r="J16" s="925">
        <f>I16</f>
        <v>7.0041685333333339</v>
      </c>
    </row>
    <row r="17" spans="1:10" ht="31.5">
      <c r="A17" s="858" t="str">
        <f>'Sắp xêp HS'!A5</f>
        <v>3.5.3</v>
      </c>
      <c r="B17" s="859" t="str">
        <f>'Sắp xêp HS'!B5</f>
        <v>Sắp xếp hồ sơ vào hộp; viết, dán nhãn hộp</v>
      </c>
      <c r="C17" s="269"/>
      <c r="D17" s="270"/>
      <c r="E17" s="860"/>
      <c r="F17" s="926"/>
      <c r="G17" s="926"/>
      <c r="H17" s="927"/>
      <c r="I17" s="335">
        <f>SUM(I18:I21)</f>
        <v>1.7013333333333336</v>
      </c>
    </row>
    <row r="18" spans="1:10" ht="15.75">
      <c r="A18" s="325"/>
      <c r="B18" s="258" t="s">
        <v>73</v>
      </c>
      <c r="C18" s="259" t="s">
        <v>130</v>
      </c>
      <c r="D18" s="259">
        <f>D12</f>
        <v>0.4</v>
      </c>
      <c r="E18" s="259">
        <f t="shared" ref="E18:G18" si="7">E12</f>
        <v>5</v>
      </c>
      <c r="F18" s="441">
        <f t="shared" si="7"/>
        <v>10000000</v>
      </c>
      <c r="G18" s="441">
        <f t="shared" si="7"/>
        <v>4000</v>
      </c>
      <c r="H18" s="924">
        <f>'Sắp xêp HS'!E5*80%</f>
        <v>2.9333333333333338E-4</v>
      </c>
      <c r="I18" s="339">
        <f>G18*H18</f>
        <v>1.1733333333333336</v>
      </c>
    </row>
    <row r="19" spans="1:10" ht="15.75">
      <c r="A19" s="8" t="s">
        <v>614</v>
      </c>
      <c r="B19" s="7" t="s">
        <v>615</v>
      </c>
      <c r="C19" s="8" t="s">
        <v>130</v>
      </c>
      <c r="D19" s="259">
        <f t="shared" ref="D19:G19" si="8">D13</f>
        <v>0.6</v>
      </c>
      <c r="E19" s="259">
        <f t="shared" si="8"/>
        <v>5</v>
      </c>
      <c r="F19" s="441">
        <f t="shared" si="8"/>
        <v>12000000</v>
      </c>
      <c r="G19" s="441">
        <f t="shared" si="8"/>
        <v>3000</v>
      </c>
      <c r="H19" s="922">
        <f>H18/3</f>
        <v>9.7777777777777793E-5</v>
      </c>
      <c r="I19" s="339">
        <f t="shared" ref="I19:I22" si="9">G19*H19</f>
        <v>0.29333333333333339</v>
      </c>
    </row>
    <row r="20" spans="1:10" ht="15.75">
      <c r="A20" s="8"/>
      <c r="B20" s="481" t="s">
        <v>616</v>
      </c>
      <c r="C20" s="8" t="s">
        <v>130</v>
      </c>
      <c r="D20" s="259">
        <f t="shared" ref="D20:G20" si="10">D14</f>
        <v>2.2000000000000002</v>
      </c>
      <c r="E20" s="259">
        <f t="shared" si="10"/>
        <v>8</v>
      </c>
      <c r="F20" s="441">
        <f t="shared" si="10"/>
        <v>44000000</v>
      </c>
      <c r="G20" s="441">
        <f t="shared" si="10"/>
        <v>11000</v>
      </c>
      <c r="H20" s="922">
        <f>H18/15</f>
        <v>1.9555555555555557E-5</v>
      </c>
      <c r="I20" s="339">
        <f t="shared" si="9"/>
        <v>0.21511111111111114</v>
      </c>
    </row>
    <row r="21" spans="1:10" ht="15.75">
      <c r="A21" s="8"/>
      <c r="B21" s="7" t="s">
        <v>74</v>
      </c>
      <c r="C21" s="8" t="s">
        <v>130</v>
      </c>
      <c r="D21" s="259">
        <f t="shared" ref="D21:G21" si="11">D15</f>
        <v>1.5</v>
      </c>
      <c r="E21" s="259">
        <f t="shared" si="11"/>
        <v>8</v>
      </c>
      <c r="F21" s="441">
        <f t="shared" si="11"/>
        <v>2500000</v>
      </c>
      <c r="G21" s="441">
        <f t="shared" si="11"/>
        <v>1000</v>
      </c>
      <c r="H21" s="922">
        <f>H18/15</f>
        <v>1.9555555555555557E-5</v>
      </c>
      <c r="I21" s="339">
        <f t="shared" si="9"/>
        <v>1.9555555555555559E-2</v>
      </c>
    </row>
    <row r="22" spans="1:10" ht="15.75">
      <c r="A22" s="482"/>
      <c r="B22" s="483" t="s">
        <v>8</v>
      </c>
      <c r="C22" s="59" t="s">
        <v>617</v>
      </c>
      <c r="D22" s="259">
        <f t="shared" ref="D22:G22" si="12">D16</f>
        <v>0</v>
      </c>
      <c r="E22" s="259">
        <f t="shared" si="12"/>
        <v>0</v>
      </c>
      <c r="F22" s="441">
        <f t="shared" si="12"/>
        <v>1686</v>
      </c>
      <c r="G22" s="441">
        <f t="shared" si="12"/>
        <v>13488</v>
      </c>
      <c r="H22" s="921">
        <f>H18*D18+H19*D19+H20*D20+H21*D21</f>
        <v>2.4835555555555562E-4</v>
      </c>
      <c r="I22" s="339">
        <f t="shared" si="9"/>
        <v>3.3498197333333342</v>
      </c>
      <c r="J22" s="925">
        <f>I22</f>
        <v>3.3498197333333342</v>
      </c>
    </row>
    <row r="23" spans="1:10" ht="31.5">
      <c r="A23" s="326" t="str">
        <f>'Sắp xêp HS'!A6</f>
        <v>3.5.4</v>
      </c>
      <c r="B23" s="268" t="str">
        <f>'Sắp xêp HS'!B6</f>
        <v>Vận chuyển hồ sơ vào kho, xếp lên giá</v>
      </c>
      <c r="C23" s="269"/>
      <c r="D23" s="270"/>
      <c r="E23" s="876"/>
      <c r="F23" s="928"/>
      <c r="G23" s="928"/>
      <c r="H23" s="927"/>
      <c r="I23" s="335">
        <f>SUM(I24:I27)</f>
        <v>5.5679999999999996</v>
      </c>
    </row>
    <row r="24" spans="1:10" ht="15.75">
      <c r="A24" s="325"/>
      <c r="B24" s="258" t="s">
        <v>73</v>
      </c>
      <c r="C24" s="259" t="s">
        <v>130</v>
      </c>
      <c r="D24" s="259">
        <f>D18</f>
        <v>0.4</v>
      </c>
      <c r="E24" s="259">
        <f t="shared" ref="E24:G24" si="13">E18</f>
        <v>5</v>
      </c>
      <c r="F24" s="441">
        <f t="shared" si="13"/>
        <v>10000000</v>
      </c>
      <c r="G24" s="441">
        <f t="shared" si="13"/>
        <v>4000</v>
      </c>
      <c r="H24" s="924">
        <f>'Sắp xêp HS'!E6*80%</f>
        <v>9.5999999999999992E-4</v>
      </c>
      <c r="I24" s="339">
        <f>G24*H24</f>
        <v>3.84</v>
      </c>
    </row>
    <row r="25" spans="1:10" ht="15.75">
      <c r="A25" s="8" t="s">
        <v>614</v>
      </c>
      <c r="B25" s="7" t="s">
        <v>615</v>
      </c>
      <c r="C25" s="8" t="s">
        <v>130</v>
      </c>
      <c r="D25" s="259">
        <f t="shared" ref="D25:G25" si="14">D19</f>
        <v>0.6</v>
      </c>
      <c r="E25" s="259">
        <f t="shared" si="14"/>
        <v>5</v>
      </c>
      <c r="F25" s="441">
        <f t="shared" si="14"/>
        <v>12000000</v>
      </c>
      <c r="G25" s="441">
        <f t="shared" si="14"/>
        <v>3000</v>
      </c>
      <c r="H25" s="922">
        <f>H24/3</f>
        <v>3.1999999999999997E-4</v>
      </c>
      <c r="I25" s="339">
        <f t="shared" ref="I25:I28" si="15">G25*H25</f>
        <v>0.96</v>
      </c>
    </row>
    <row r="26" spans="1:10" ht="15.75">
      <c r="A26" s="8"/>
      <c r="B26" s="481" t="s">
        <v>616</v>
      </c>
      <c r="C26" s="8" t="s">
        <v>130</v>
      </c>
      <c r="D26" s="259">
        <f t="shared" ref="D26:G26" si="16">D20</f>
        <v>2.2000000000000002</v>
      </c>
      <c r="E26" s="259">
        <f t="shared" si="16"/>
        <v>8</v>
      </c>
      <c r="F26" s="441">
        <f t="shared" si="16"/>
        <v>44000000</v>
      </c>
      <c r="G26" s="441">
        <f t="shared" si="16"/>
        <v>11000</v>
      </c>
      <c r="H26" s="922">
        <f>H24/15</f>
        <v>6.3999999999999997E-5</v>
      </c>
      <c r="I26" s="339">
        <f t="shared" si="15"/>
        <v>0.70399999999999996</v>
      </c>
    </row>
    <row r="27" spans="1:10" ht="15.75">
      <c r="A27" s="8"/>
      <c r="B27" s="7" t="s">
        <v>74</v>
      </c>
      <c r="C27" s="8" t="s">
        <v>130</v>
      </c>
      <c r="D27" s="259">
        <f t="shared" ref="D27:G27" si="17">D21</f>
        <v>1.5</v>
      </c>
      <c r="E27" s="259">
        <f t="shared" si="17"/>
        <v>8</v>
      </c>
      <c r="F27" s="441">
        <f t="shared" si="17"/>
        <v>2500000</v>
      </c>
      <c r="G27" s="441">
        <f t="shared" si="17"/>
        <v>1000</v>
      </c>
      <c r="H27" s="922">
        <f>H24/15</f>
        <v>6.3999999999999997E-5</v>
      </c>
      <c r="I27" s="339">
        <f t="shared" si="15"/>
        <v>6.4000000000000001E-2</v>
      </c>
    </row>
    <row r="28" spans="1:10" ht="15.75">
      <c r="A28" s="482"/>
      <c r="B28" s="483" t="s">
        <v>8</v>
      </c>
      <c r="C28" s="59" t="s">
        <v>617</v>
      </c>
      <c r="D28" s="259">
        <f t="shared" ref="D28:G28" si="18">D22</f>
        <v>0</v>
      </c>
      <c r="E28" s="259">
        <f t="shared" si="18"/>
        <v>0</v>
      </c>
      <c r="F28" s="441">
        <f t="shared" si="18"/>
        <v>1686</v>
      </c>
      <c r="G28" s="441">
        <f t="shared" si="18"/>
        <v>13488</v>
      </c>
      <c r="H28" s="921">
        <f>H24*D24+H25*D25+H26*D26+H27*D27</f>
        <v>8.1280000000000002E-4</v>
      </c>
      <c r="I28" s="339">
        <f t="shared" si="15"/>
        <v>10.9630464</v>
      </c>
      <c r="J28" s="925">
        <f>I28</f>
        <v>10.9630464</v>
      </c>
    </row>
    <row r="29" spans="1:10">
      <c r="I29" s="925">
        <f>I5+I11+I17+I23</f>
        <v>35.882666666666665</v>
      </c>
      <c r="J29" s="925">
        <f>J10+J16+J28</f>
        <v>67.300923733333335</v>
      </c>
    </row>
  </sheetData>
  <mergeCells count="1">
    <mergeCell ref="A2:I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J33"/>
  <sheetViews>
    <sheetView topLeftCell="A10" workbookViewId="0">
      <selection activeCell="B12" sqref="B12"/>
    </sheetView>
  </sheetViews>
  <sheetFormatPr defaultRowHeight="15"/>
  <cols>
    <col min="1" max="1" width="3.875" bestFit="1" customWidth="1"/>
    <col min="2" max="2" width="38.375" customWidth="1"/>
    <col min="3" max="3" width="10.125" bestFit="1" customWidth="1"/>
    <col min="5" max="5" width="8.875" hidden="1" customWidth="1"/>
    <col min="6" max="6" width="0" hidden="1" customWidth="1"/>
    <col min="7" max="7" width="13.125" customWidth="1"/>
  </cols>
  <sheetData>
    <row r="3" spans="1:10" ht="63">
      <c r="A3" s="453" t="s">
        <v>14</v>
      </c>
      <c r="B3" s="453" t="s">
        <v>2</v>
      </c>
      <c r="C3" s="453" t="s">
        <v>20</v>
      </c>
      <c r="D3" s="453" t="s">
        <v>602</v>
      </c>
      <c r="E3" s="453" t="s">
        <v>100</v>
      </c>
      <c r="F3" s="453" t="s">
        <v>603</v>
      </c>
      <c r="G3" s="453" t="s">
        <v>17</v>
      </c>
      <c r="H3" s="453" t="s">
        <v>19</v>
      </c>
      <c r="J3" s="509" t="s">
        <v>627</v>
      </c>
    </row>
    <row r="4" spans="1:10" ht="15.75" hidden="1">
      <c r="A4" s="454">
        <v>1</v>
      </c>
      <c r="B4" s="455" t="s">
        <v>183</v>
      </c>
      <c r="C4" s="454" t="s">
        <v>26</v>
      </c>
      <c r="D4" s="454">
        <v>18</v>
      </c>
      <c r="E4" s="456">
        <v>0</v>
      </c>
      <c r="F4" s="457">
        <f t="shared" ref="F4:F22" si="0">E4/(D4*26)</f>
        <v>0</v>
      </c>
      <c r="G4" s="458">
        <v>27.68</v>
      </c>
      <c r="H4" s="459">
        <f>G4*F4</f>
        <v>0</v>
      </c>
      <c r="J4" s="510">
        <v>90000</v>
      </c>
    </row>
    <row r="5" spans="1:10" ht="15.75" hidden="1">
      <c r="A5" s="8">
        <v>2</v>
      </c>
      <c r="B5" s="460" t="s">
        <v>184</v>
      </c>
      <c r="C5" s="8" t="s">
        <v>604</v>
      </c>
      <c r="D5" s="8">
        <v>6</v>
      </c>
      <c r="E5" s="461">
        <v>0</v>
      </c>
      <c r="F5" s="462">
        <f t="shared" si="0"/>
        <v>0</v>
      </c>
      <c r="G5" s="463">
        <v>27.68</v>
      </c>
      <c r="H5" s="464">
        <f t="shared" ref="H5:H23" si="1">G5*F5</f>
        <v>0</v>
      </c>
      <c r="J5" s="511">
        <v>15000</v>
      </c>
    </row>
    <row r="6" spans="1:10" ht="15.75">
      <c r="A6" s="8">
        <v>1</v>
      </c>
      <c r="B6" s="460" t="s">
        <v>27</v>
      </c>
      <c r="C6" s="8" t="s">
        <v>26</v>
      </c>
      <c r="D6" s="8">
        <v>96</v>
      </c>
      <c r="E6" s="461">
        <v>560000</v>
      </c>
      <c r="F6" s="462">
        <f t="shared" si="0"/>
        <v>224.35897435897436</v>
      </c>
      <c r="G6" s="463">
        <v>27.68</v>
      </c>
      <c r="H6" s="464">
        <f t="shared" si="1"/>
        <v>6210.2564102564102</v>
      </c>
      <c r="J6" s="511">
        <v>560000</v>
      </c>
    </row>
    <row r="7" spans="1:10" ht="15.75" hidden="1">
      <c r="A7" s="8">
        <f t="shared" ref="A7:A22" si="2">A6+1</f>
        <v>2</v>
      </c>
      <c r="B7" s="460" t="s">
        <v>185</v>
      </c>
      <c r="C7" s="8" t="s">
        <v>26</v>
      </c>
      <c r="D7" s="8">
        <v>12</v>
      </c>
      <c r="E7" s="461">
        <v>0</v>
      </c>
      <c r="F7" s="462">
        <f t="shared" si="0"/>
        <v>0</v>
      </c>
      <c r="G7" s="463">
        <v>0.05</v>
      </c>
      <c r="H7" s="464">
        <f t="shared" si="1"/>
        <v>0</v>
      </c>
      <c r="J7" s="511">
        <v>150000</v>
      </c>
    </row>
    <row r="8" spans="1:10" ht="15.75">
      <c r="A8" s="8">
        <v>2</v>
      </c>
      <c r="B8" s="465" t="s">
        <v>605</v>
      </c>
      <c r="C8" s="8" t="s">
        <v>26</v>
      </c>
      <c r="D8" s="8">
        <v>60</v>
      </c>
      <c r="E8" s="461">
        <v>285000</v>
      </c>
      <c r="F8" s="462">
        <f t="shared" si="0"/>
        <v>182.69230769230768</v>
      </c>
      <c r="G8" s="463">
        <v>27.68</v>
      </c>
      <c r="H8" s="464">
        <f t="shared" si="1"/>
        <v>5056.9230769230762</v>
      </c>
      <c r="J8" s="511">
        <v>285000</v>
      </c>
    </row>
    <row r="9" spans="1:10" ht="15.75" hidden="1">
      <c r="A9" s="8">
        <f t="shared" si="2"/>
        <v>3</v>
      </c>
      <c r="B9" s="460" t="s">
        <v>57</v>
      </c>
      <c r="C9" s="8" t="s">
        <v>26</v>
      </c>
      <c r="D9" s="8">
        <v>60</v>
      </c>
      <c r="E9" s="461">
        <v>0</v>
      </c>
      <c r="F9" s="462">
        <f t="shared" si="0"/>
        <v>0</v>
      </c>
      <c r="G9" s="463">
        <v>6.92</v>
      </c>
      <c r="H9" s="464">
        <f t="shared" si="1"/>
        <v>0</v>
      </c>
      <c r="J9" s="511">
        <v>2800000</v>
      </c>
    </row>
    <row r="10" spans="1:10" ht="15.75">
      <c r="A10" s="8">
        <v>3</v>
      </c>
      <c r="B10" s="460" t="s">
        <v>606</v>
      </c>
      <c r="C10" s="8" t="s">
        <v>26</v>
      </c>
      <c r="D10" s="8">
        <v>24</v>
      </c>
      <c r="E10" s="461">
        <v>25000</v>
      </c>
      <c r="F10" s="462">
        <f t="shared" si="0"/>
        <v>40.064102564102562</v>
      </c>
      <c r="G10" s="463">
        <v>0.05</v>
      </c>
      <c r="H10" s="464">
        <f t="shared" si="1"/>
        <v>2.0032051282051282</v>
      </c>
      <c r="J10" s="511">
        <v>25000</v>
      </c>
    </row>
    <row r="11" spans="1:10" ht="15.75">
      <c r="A11" s="8">
        <v>4</v>
      </c>
      <c r="B11" s="466" t="s">
        <v>607</v>
      </c>
      <c r="C11" s="8" t="s">
        <v>26</v>
      </c>
      <c r="D11" s="8">
        <v>24</v>
      </c>
      <c r="E11" s="467">
        <v>180000</v>
      </c>
      <c r="F11" s="462">
        <f t="shared" si="0"/>
        <v>288.46153846153845</v>
      </c>
      <c r="G11" s="463">
        <v>0.03</v>
      </c>
      <c r="H11" s="464">
        <f t="shared" si="1"/>
        <v>8.6538461538461533</v>
      </c>
      <c r="J11" s="512">
        <v>180000</v>
      </c>
    </row>
    <row r="12" spans="1:10" ht="15.75" hidden="1">
      <c r="A12" s="8">
        <f t="shared" si="2"/>
        <v>5</v>
      </c>
      <c r="B12" s="460" t="s">
        <v>186</v>
      </c>
      <c r="C12" s="8" t="s">
        <v>26</v>
      </c>
      <c r="D12" s="8">
        <v>36</v>
      </c>
      <c r="E12" s="461">
        <v>0</v>
      </c>
      <c r="F12" s="462">
        <f t="shared" si="0"/>
        <v>0</v>
      </c>
      <c r="G12" s="463">
        <v>0.2</v>
      </c>
      <c r="H12" s="464">
        <f>G12*F12</f>
        <v>0</v>
      </c>
      <c r="J12" s="511">
        <v>1700000</v>
      </c>
    </row>
    <row r="13" spans="1:10" ht="15.75" hidden="1">
      <c r="A13" s="8">
        <f t="shared" si="2"/>
        <v>6</v>
      </c>
      <c r="B13" s="460" t="s">
        <v>187</v>
      </c>
      <c r="C13" s="8" t="s">
        <v>26</v>
      </c>
      <c r="D13" s="8">
        <v>96</v>
      </c>
      <c r="E13" s="461">
        <v>0</v>
      </c>
      <c r="F13" s="462">
        <f t="shared" si="0"/>
        <v>0</v>
      </c>
      <c r="G13" s="463">
        <v>6.92</v>
      </c>
      <c r="H13" s="464">
        <f>G13*F13</f>
        <v>0</v>
      </c>
      <c r="J13" s="511">
        <v>4600000</v>
      </c>
    </row>
    <row r="14" spans="1:10" ht="15.75" hidden="1">
      <c r="A14" s="8">
        <f t="shared" si="2"/>
        <v>7</v>
      </c>
      <c r="B14" s="460" t="s">
        <v>188</v>
      </c>
      <c r="C14" s="8" t="s">
        <v>26</v>
      </c>
      <c r="D14" s="8">
        <v>36</v>
      </c>
      <c r="E14" s="461">
        <v>0</v>
      </c>
      <c r="F14" s="462">
        <f t="shared" si="0"/>
        <v>0</v>
      </c>
      <c r="G14" s="463">
        <v>0.01</v>
      </c>
      <c r="H14" s="464">
        <f t="shared" si="1"/>
        <v>0</v>
      </c>
      <c r="J14" s="511">
        <v>480000</v>
      </c>
    </row>
    <row r="15" spans="1:10" ht="15.75" hidden="1">
      <c r="A15" s="8">
        <f t="shared" si="2"/>
        <v>8</v>
      </c>
      <c r="B15" s="460" t="s">
        <v>189</v>
      </c>
      <c r="C15" s="8" t="s">
        <v>26</v>
      </c>
      <c r="D15" s="8">
        <v>36</v>
      </c>
      <c r="E15" s="461">
        <v>0</v>
      </c>
      <c r="F15" s="462">
        <f t="shared" si="0"/>
        <v>0</v>
      </c>
      <c r="G15" s="463">
        <v>6.92</v>
      </c>
      <c r="H15" s="464">
        <f t="shared" si="1"/>
        <v>0</v>
      </c>
      <c r="J15" s="511">
        <v>100000</v>
      </c>
    </row>
    <row r="16" spans="1:10" ht="15.75" hidden="1">
      <c r="A16" s="8">
        <f t="shared" si="2"/>
        <v>9</v>
      </c>
      <c r="B16" s="465" t="s">
        <v>608</v>
      </c>
      <c r="C16" s="8" t="s">
        <v>26</v>
      </c>
      <c r="D16" s="8">
        <v>36</v>
      </c>
      <c r="E16" s="461">
        <v>0</v>
      </c>
      <c r="F16" s="462">
        <f t="shared" si="0"/>
        <v>0</v>
      </c>
      <c r="G16" s="463">
        <v>4.6399999999999997</v>
      </c>
      <c r="H16" s="464">
        <f t="shared" si="1"/>
        <v>0</v>
      </c>
      <c r="J16" s="511">
        <v>500000</v>
      </c>
    </row>
    <row r="17" spans="1:10" ht="15.75">
      <c r="A17" s="8">
        <v>5</v>
      </c>
      <c r="B17" s="465" t="s">
        <v>609</v>
      </c>
      <c r="C17" s="8" t="s">
        <v>26</v>
      </c>
      <c r="D17" s="8">
        <v>36</v>
      </c>
      <c r="E17" s="461">
        <v>250000</v>
      </c>
      <c r="F17" s="462">
        <f t="shared" si="0"/>
        <v>267.09401709401709</v>
      </c>
      <c r="G17" s="463">
        <v>4.6399999999999997</v>
      </c>
      <c r="H17" s="464">
        <f t="shared" si="1"/>
        <v>1239.3162393162393</v>
      </c>
      <c r="J17" s="511">
        <v>250000</v>
      </c>
    </row>
    <row r="18" spans="1:10" ht="15.75">
      <c r="A18" s="8">
        <f t="shared" si="2"/>
        <v>6</v>
      </c>
      <c r="B18" s="465" t="s">
        <v>610</v>
      </c>
      <c r="C18" s="8" t="s">
        <v>611</v>
      </c>
      <c r="D18" s="8">
        <v>30</v>
      </c>
      <c r="E18" s="461">
        <v>38000</v>
      </c>
      <c r="F18" s="462">
        <f t="shared" si="0"/>
        <v>48.717948717948715</v>
      </c>
      <c r="G18" s="463">
        <v>27.68</v>
      </c>
      <c r="H18" s="464">
        <f t="shared" si="1"/>
        <v>1348.5128205128203</v>
      </c>
      <c r="J18" s="511">
        <v>38000</v>
      </c>
    </row>
    <row r="19" spans="1:10" ht="15.75">
      <c r="A19" s="8">
        <f t="shared" si="2"/>
        <v>7</v>
      </c>
      <c r="B19" s="465" t="s">
        <v>190</v>
      </c>
      <c r="C19" s="8" t="s">
        <v>26</v>
      </c>
      <c r="D19" s="8">
        <v>60</v>
      </c>
      <c r="E19" s="461">
        <v>1200000</v>
      </c>
      <c r="F19" s="462">
        <f t="shared" si="0"/>
        <v>769.23076923076928</v>
      </c>
      <c r="G19" s="463">
        <v>0.21</v>
      </c>
      <c r="H19" s="464">
        <f t="shared" si="1"/>
        <v>161.53846153846155</v>
      </c>
      <c r="J19" s="511">
        <v>1200000</v>
      </c>
    </row>
    <row r="20" spans="1:10" ht="15.75">
      <c r="A20" s="8">
        <f t="shared" si="2"/>
        <v>8</v>
      </c>
      <c r="B20" s="465" t="s">
        <v>191</v>
      </c>
      <c r="C20" s="8" t="s">
        <v>26</v>
      </c>
      <c r="D20" s="8">
        <v>60</v>
      </c>
      <c r="E20" s="461">
        <v>1000000</v>
      </c>
      <c r="F20" s="462">
        <f t="shared" si="0"/>
        <v>641.02564102564099</v>
      </c>
      <c r="G20" s="463">
        <v>1.73</v>
      </c>
      <c r="H20" s="464">
        <f>G20*F20</f>
        <v>1108.9743589743589</v>
      </c>
      <c r="J20" s="511">
        <v>1000000</v>
      </c>
    </row>
    <row r="21" spans="1:10" ht="15.75" hidden="1">
      <c r="A21" s="8">
        <f t="shared" si="2"/>
        <v>9</v>
      </c>
      <c r="B21" s="465" t="s">
        <v>192</v>
      </c>
      <c r="C21" s="8" t="s">
        <v>26</v>
      </c>
      <c r="D21" s="8">
        <v>60</v>
      </c>
      <c r="E21" s="461">
        <v>0</v>
      </c>
      <c r="F21" s="462">
        <f t="shared" si="0"/>
        <v>0</v>
      </c>
      <c r="G21" s="463">
        <v>0.01</v>
      </c>
      <c r="H21" s="464">
        <f t="shared" si="1"/>
        <v>0</v>
      </c>
      <c r="J21" s="511">
        <v>5150000</v>
      </c>
    </row>
    <row r="22" spans="1:10" ht="15.75" hidden="1">
      <c r="A22" s="8">
        <f t="shared" si="2"/>
        <v>10</v>
      </c>
      <c r="B22" s="468" t="s">
        <v>612</v>
      </c>
      <c r="C22" s="8" t="s">
        <v>26</v>
      </c>
      <c r="D22" s="8">
        <v>60</v>
      </c>
      <c r="E22" s="467">
        <v>0</v>
      </c>
      <c r="F22" s="462">
        <f t="shared" si="0"/>
        <v>0</v>
      </c>
      <c r="G22" s="463">
        <v>0.05</v>
      </c>
      <c r="H22" s="464">
        <f t="shared" si="1"/>
        <v>0</v>
      </c>
      <c r="J22" s="512">
        <v>1200000</v>
      </c>
    </row>
    <row r="23" spans="1:10" ht="15.75">
      <c r="A23" s="8">
        <v>9</v>
      </c>
      <c r="B23" s="469" t="s">
        <v>8</v>
      </c>
      <c r="C23" s="59" t="s">
        <v>613</v>
      </c>
      <c r="D23" s="59"/>
      <c r="E23" s="470">
        <f>Gia_Tbi!F13</f>
        <v>1686</v>
      </c>
      <c r="F23" s="470">
        <f>E23*8</f>
        <v>13488</v>
      </c>
      <c r="G23" s="471">
        <f>G17*0.04+G18*0.04+G19*2+G20*1.5</f>
        <v>4.3077999999999994</v>
      </c>
      <c r="H23" s="472">
        <f t="shared" si="1"/>
        <v>58103.60639999999</v>
      </c>
      <c r="J23" s="470">
        <f>Gia_Tbi!K13</f>
        <v>0</v>
      </c>
    </row>
    <row r="24" spans="1:10" ht="15.75">
      <c r="A24" s="473"/>
      <c r="B24" s="2021"/>
      <c r="C24" s="2022"/>
      <c r="D24" s="2022"/>
      <c r="E24" s="2023"/>
      <c r="F24" s="474"/>
      <c r="G24" s="474"/>
      <c r="H24" s="475">
        <f>SUM(H4:H23)</f>
        <v>73239.784818803411</v>
      </c>
    </row>
    <row r="25" spans="1:10">
      <c r="H25" s="476">
        <f>SUM(H4:H24)</f>
        <v>146479.56963760682</v>
      </c>
      <c r="I25" s="477">
        <f>H25/300</f>
        <v>488.26523212535608</v>
      </c>
    </row>
    <row r="26" spans="1:10" ht="15.75">
      <c r="A26" s="2020" t="s">
        <v>194</v>
      </c>
      <c r="B26" s="2020"/>
      <c r="C26" s="4"/>
    </row>
    <row r="27" spans="1:10" ht="15.75">
      <c r="A27" s="4"/>
      <c r="B27" s="4"/>
      <c r="C27" s="4"/>
    </row>
    <row r="28" spans="1:10" ht="31.5">
      <c r="A28" s="420" t="s">
        <v>9</v>
      </c>
      <c r="B28" s="420" t="s">
        <v>109</v>
      </c>
      <c r="C28" s="420" t="s">
        <v>110</v>
      </c>
      <c r="D28" s="450" t="s">
        <v>28</v>
      </c>
      <c r="E28" s="400"/>
      <c r="F28" s="450" t="s">
        <v>19</v>
      </c>
    </row>
    <row r="29" spans="1:10" ht="63">
      <c r="A29" s="367">
        <v>1</v>
      </c>
      <c r="B29" s="387" t="s">
        <v>193</v>
      </c>
      <c r="C29" s="408">
        <f>'Sắp xêp HS'!E3</f>
        <v>4.4999999999999997E-3</v>
      </c>
      <c r="D29" s="451">
        <f t="shared" ref="D29:D32" si="3">C29/$C$33</f>
        <v>0.65853658536585369</v>
      </c>
      <c r="E29" s="400"/>
      <c r="F29" s="478">
        <f t="shared" ref="F29:F32" si="4">$I$25*D29</f>
        <v>321.54051871669793</v>
      </c>
    </row>
    <row r="30" spans="1:10" ht="31.5">
      <c r="A30" s="367">
        <v>2</v>
      </c>
      <c r="B30" s="387" t="s">
        <v>178</v>
      </c>
      <c r="C30" s="408">
        <f>'Sắp xêp HS'!E4</f>
        <v>7.6666666666666669E-4</v>
      </c>
      <c r="D30" s="451">
        <f t="shared" si="3"/>
        <v>0.11219512195121953</v>
      </c>
      <c r="E30" s="400"/>
      <c r="F30" s="478">
        <f t="shared" si="4"/>
        <v>54.780977262844836</v>
      </c>
    </row>
    <row r="31" spans="1:10" ht="15.75">
      <c r="A31" s="367">
        <v>3</v>
      </c>
      <c r="B31" s="387" t="s">
        <v>179</v>
      </c>
      <c r="C31" s="408">
        <f>'Sắp xêp HS'!E5</f>
        <v>3.6666666666666667E-4</v>
      </c>
      <c r="D31" s="451">
        <f t="shared" si="3"/>
        <v>5.365853658536586E-2</v>
      </c>
      <c r="E31" s="400"/>
      <c r="F31" s="478">
        <f t="shared" si="4"/>
        <v>26.199597821360573</v>
      </c>
    </row>
    <row r="32" spans="1:10" ht="31.5">
      <c r="A32" s="367">
        <v>4</v>
      </c>
      <c r="B32" s="387" t="s">
        <v>180</v>
      </c>
      <c r="C32" s="408">
        <f>'Sắp xêp HS'!E6</f>
        <v>1.1999999999999999E-3</v>
      </c>
      <c r="D32" s="451">
        <f t="shared" si="3"/>
        <v>0.17560975609756097</v>
      </c>
      <c r="E32" s="400"/>
      <c r="F32" s="478">
        <f t="shared" si="4"/>
        <v>85.744138324452763</v>
      </c>
    </row>
    <row r="33" spans="3:6" ht="15.75">
      <c r="C33" s="452">
        <f>SUM(C29:C32)</f>
        <v>6.8333333333333328E-3</v>
      </c>
      <c r="D33">
        <f>SUM(D29:D32)</f>
        <v>1</v>
      </c>
      <c r="F33" s="479">
        <f>SUM(F29:F32)</f>
        <v>488.26523212535608</v>
      </c>
    </row>
  </sheetData>
  <mergeCells count="2">
    <mergeCell ref="A26:B26"/>
    <mergeCell ref="B24:E24"/>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
  <sheetViews>
    <sheetView zoomScale="70" zoomScaleNormal="70" workbookViewId="0">
      <selection activeCell="H9" sqref="H9"/>
    </sheetView>
  </sheetViews>
  <sheetFormatPr defaultRowHeight="15"/>
  <cols>
    <col min="1" max="1" width="8.625" customWidth="1"/>
    <col min="2" max="2" width="52.375" customWidth="1"/>
    <col min="3" max="3" width="11.125" customWidth="1"/>
    <col min="4" max="4" width="7" customWidth="1"/>
    <col min="5" max="5" width="6.25" customWidth="1"/>
    <col min="6" max="6" width="5" customWidth="1"/>
    <col min="7" max="7" width="7.375" customWidth="1"/>
    <col min="8" max="8" width="8.25" customWidth="1"/>
    <col min="9" max="9" width="8.375" customWidth="1"/>
    <col min="10" max="10" width="6.625" customWidth="1"/>
    <col min="11" max="11" width="6.75" customWidth="1"/>
    <col min="12" max="12" width="5.25" customWidth="1"/>
    <col min="13" max="13" width="6" customWidth="1"/>
    <col min="14" max="14" width="5.875" customWidth="1"/>
    <col min="15" max="16" width="5.25" customWidth="1"/>
  </cols>
  <sheetData>
    <row r="2" spans="1:18" ht="16.5">
      <c r="A2" s="2024" t="s">
        <v>209</v>
      </c>
      <c r="B2" s="2025"/>
      <c r="C2" s="2025"/>
      <c r="D2" s="2025"/>
    </row>
    <row r="4" spans="1:18" ht="96" customHeight="1">
      <c r="A4" s="1184" t="s">
        <v>14</v>
      </c>
      <c r="B4" s="1184" t="s">
        <v>210</v>
      </c>
      <c r="C4" s="1185" t="s">
        <v>212</v>
      </c>
      <c r="D4" s="398" t="s">
        <v>211</v>
      </c>
      <c r="E4" s="398" t="s">
        <v>213</v>
      </c>
      <c r="F4" s="398" t="s">
        <v>214</v>
      </c>
      <c r="G4" s="398" t="s">
        <v>215</v>
      </c>
      <c r="H4" s="398" t="s">
        <v>216</v>
      </c>
      <c r="I4" s="398" t="s">
        <v>217</v>
      </c>
      <c r="J4" s="399" t="s">
        <v>218</v>
      </c>
      <c r="K4" s="398" t="s">
        <v>219</v>
      </c>
      <c r="L4" s="398" t="s">
        <v>220</v>
      </c>
      <c r="M4" s="398" t="s">
        <v>221</v>
      </c>
      <c r="N4" s="398" t="s">
        <v>222</v>
      </c>
      <c r="O4" s="399" t="s">
        <v>223</v>
      </c>
      <c r="P4" s="399" t="s">
        <v>224</v>
      </c>
      <c r="Q4" s="122" t="s">
        <v>835</v>
      </c>
      <c r="R4" t="s">
        <v>908</v>
      </c>
    </row>
    <row r="5" spans="1:18" ht="16.5">
      <c r="A5" s="403"/>
      <c r="B5" s="395"/>
      <c r="C5" s="397"/>
      <c r="D5" s="397"/>
      <c r="E5" s="401">
        <v>6</v>
      </c>
      <c r="F5" s="401">
        <v>3</v>
      </c>
      <c r="G5" s="386">
        <f>7*2</f>
        <v>14</v>
      </c>
      <c r="H5" s="386">
        <v>6</v>
      </c>
      <c r="I5" s="386">
        <v>14</v>
      </c>
      <c r="J5" s="386">
        <v>9</v>
      </c>
      <c r="K5" s="386">
        <v>9</v>
      </c>
      <c r="L5" s="386">
        <v>5</v>
      </c>
      <c r="M5" s="386">
        <v>4</v>
      </c>
      <c r="N5" s="386">
        <v>10</v>
      </c>
      <c r="O5" s="386">
        <v>11</v>
      </c>
      <c r="P5" s="386">
        <v>6</v>
      </c>
      <c r="Q5" s="1230">
        <v>3</v>
      </c>
      <c r="R5" s="1230">
        <v>9</v>
      </c>
    </row>
    <row r="6" spans="1:18" ht="33">
      <c r="A6" s="393">
        <v>1</v>
      </c>
      <c r="B6" s="392" t="s">
        <v>814</v>
      </c>
      <c r="C6" s="402">
        <v>1</v>
      </c>
      <c r="D6" s="1232">
        <f>E5+F5+G5+H5+O5+P5</f>
        <v>46</v>
      </c>
      <c r="E6" s="400"/>
      <c r="F6" s="400"/>
      <c r="G6" s="400"/>
      <c r="H6" s="400"/>
      <c r="I6" s="400"/>
      <c r="J6" s="400"/>
      <c r="K6" s="400"/>
      <c r="L6" s="400"/>
      <c r="M6" s="400"/>
      <c r="N6" s="400"/>
      <c r="O6" s="400"/>
      <c r="P6" s="400"/>
    </row>
    <row r="7" spans="1:18" ht="33">
      <c r="A7" s="393">
        <v>2</v>
      </c>
      <c r="B7" s="392" t="s">
        <v>815</v>
      </c>
      <c r="C7" s="402">
        <f>(D7/D6)*C6</f>
        <v>1.1956521739130435</v>
      </c>
      <c r="D7" s="1232">
        <f>D6+J5</f>
        <v>55</v>
      </c>
      <c r="E7" s="400"/>
      <c r="F7" s="400"/>
      <c r="G7" s="400"/>
      <c r="H7" s="400"/>
      <c r="I7" s="400"/>
      <c r="J7" s="400"/>
      <c r="K7" s="400"/>
      <c r="L7" s="400"/>
      <c r="M7" s="400"/>
      <c r="N7" s="400"/>
      <c r="O7" s="400"/>
      <c r="P7" s="400"/>
    </row>
    <row r="8" spans="1:18" ht="33">
      <c r="A8" s="393">
        <v>3</v>
      </c>
      <c r="B8" s="392" t="s">
        <v>816</v>
      </c>
      <c r="C8" s="402">
        <f>(D8/D6)*C6</f>
        <v>0.30434782608695654</v>
      </c>
      <c r="D8" s="1232">
        <f>((F5+G5+H5+O5+P5)/5) + 6</f>
        <v>14</v>
      </c>
      <c r="E8" s="400"/>
      <c r="F8" s="2026" t="s">
        <v>817</v>
      </c>
      <c r="G8" s="2027"/>
      <c r="H8" s="2027"/>
      <c r="I8" s="2027"/>
      <c r="J8" s="2027"/>
      <c r="K8" s="2027"/>
      <c r="L8" s="2027"/>
      <c r="M8" s="2027"/>
      <c r="N8" s="2027"/>
      <c r="O8" s="2027"/>
      <c r="P8" s="2027"/>
    </row>
    <row r="9" spans="1:18" ht="49.5">
      <c r="A9" s="393">
        <v>4</v>
      </c>
      <c r="B9" s="392" t="s">
        <v>818</v>
      </c>
      <c r="C9" s="402">
        <v>1</v>
      </c>
      <c r="D9" s="1232">
        <f>I5+N5+O5+P5</f>
        <v>41</v>
      </c>
      <c r="E9" s="400"/>
      <c r="F9" s="400"/>
      <c r="G9" s="400"/>
      <c r="H9" s="400"/>
      <c r="I9" s="400"/>
      <c r="J9" s="400"/>
      <c r="K9" s="400"/>
      <c r="L9" s="400"/>
      <c r="M9" s="400"/>
      <c r="N9" s="400"/>
      <c r="O9" s="400"/>
      <c r="P9" s="400"/>
    </row>
    <row r="10" spans="1:18" ht="33">
      <c r="A10" s="393">
        <v>5</v>
      </c>
      <c r="B10" s="392" t="s">
        <v>819</v>
      </c>
      <c r="C10" s="402">
        <f t="shared" ref="C10" si="0">D10/$D$6*$C$6</f>
        <v>0.5</v>
      </c>
      <c r="D10" s="1232">
        <f>E5+F5+G5</f>
        <v>23</v>
      </c>
      <c r="E10" s="400"/>
      <c r="F10" s="400"/>
      <c r="G10" s="400"/>
      <c r="H10" s="400"/>
      <c r="I10" s="400"/>
      <c r="J10" s="400"/>
      <c r="K10" s="400"/>
      <c r="L10" s="400"/>
      <c r="M10" s="400"/>
      <c r="N10" s="400"/>
      <c r="O10" s="400"/>
      <c r="P10" s="400"/>
    </row>
    <row r="12" spans="1:18" ht="15.75">
      <c r="B12" s="449" t="s">
        <v>596</v>
      </c>
    </row>
    <row r="13" spans="1:18" ht="15.75">
      <c r="B13" s="4" t="s">
        <v>595</v>
      </c>
    </row>
    <row r="14" spans="1:18" ht="15.75">
      <c r="B14" s="4" t="s">
        <v>597</v>
      </c>
    </row>
    <row r="15" spans="1:18" ht="35.25" customHeight="1">
      <c r="B15" s="421" t="s">
        <v>598</v>
      </c>
      <c r="C15">
        <f>G5+H5+O5+P5</f>
        <v>37</v>
      </c>
      <c r="D15">
        <f>9/D6</f>
        <v>0.19565217391304349</v>
      </c>
    </row>
    <row r="16" spans="1:18" ht="15.75">
      <c r="B16" s="4" t="s">
        <v>599</v>
      </c>
    </row>
    <row r="17" spans="2:2" ht="15.75">
      <c r="B17" s="4" t="s">
        <v>600</v>
      </c>
    </row>
  </sheetData>
  <mergeCells count="2">
    <mergeCell ref="A2:D2"/>
    <mergeCell ref="F8:P8"/>
  </mergeCells>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K1000"/>
  <sheetViews>
    <sheetView topLeftCell="A19" workbookViewId="0">
      <selection activeCell="I135" sqref="I135"/>
    </sheetView>
  </sheetViews>
  <sheetFormatPr defaultColWidth="9" defaultRowHeight="15.75"/>
  <cols>
    <col min="1" max="1" width="6.75" style="122" customWidth="1"/>
    <col min="2" max="2" width="47.875" style="107" customWidth="1"/>
    <col min="3" max="3" width="7.125" style="122" customWidth="1"/>
    <col min="4" max="4" width="8.875" style="122" customWidth="1"/>
    <col min="5" max="5" width="9.125" style="107" customWidth="1"/>
    <col min="6" max="6" width="11.375" style="107" customWidth="1"/>
    <col min="7" max="7" width="9.375" style="123" customWidth="1"/>
    <col min="8" max="8" width="9.375" style="194" bestFit="1" customWidth="1"/>
    <col min="9" max="9" width="9.75" style="125" customWidth="1"/>
    <col min="10" max="16384" width="9" style="107"/>
  </cols>
  <sheetData>
    <row r="1" spans="1:11">
      <c r="A1" s="2037" t="s">
        <v>22</v>
      </c>
      <c r="B1" s="2037"/>
      <c r="C1" s="2037"/>
      <c r="D1" s="2037"/>
      <c r="E1" s="2037"/>
      <c r="F1" s="2037"/>
      <c r="G1" s="2037"/>
      <c r="H1" s="2037"/>
      <c r="I1" s="2037"/>
    </row>
    <row r="2" spans="1:11" ht="16.5" thickBot="1">
      <c r="H2" s="194" t="s">
        <v>70</v>
      </c>
      <c r="I2" s="124" t="s">
        <v>76</v>
      </c>
    </row>
    <row r="3" spans="1:11" s="6" customFormat="1" ht="47.25">
      <c r="A3" s="26" t="s">
        <v>14</v>
      </c>
      <c r="B3" s="27" t="s">
        <v>16</v>
      </c>
      <c r="C3" s="27" t="s">
        <v>20</v>
      </c>
      <c r="D3" s="27" t="s">
        <v>4</v>
      </c>
      <c r="E3" s="27" t="s">
        <v>5</v>
      </c>
      <c r="F3" s="27" t="s">
        <v>18</v>
      </c>
      <c r="G3" s="89" t="s">
        <v>0</v>
      </c>
      <c r="H3" s="214" t="s">
        <v>17</v>
      </c>
      <c r="I3" s="28" t="s">
        <v>19</v>
      </c>
    </row>
    <row r="4" spans="1:11" s="6" customFormat="1">
      <c r="A4" s="126"/>
      <c r="B4" s="127"/>
      <c r="C4" s="128"/>
      <c r="D4" s="128"/>
      <c r="E4" s="128"/>
      <c r="F4" s="128"/>
      <c r="G4" s="129"/>
      <c r="H4" s="195"/>
      <c r="I4" s="130"/>
    </row>
    <row r="5" spans="1:11" s="11" customFormat="1" ht="56.25" customHeight="1">
      <c r="A5" s="29" t="e">
        <f>#REF!</f>
        <v>#REF!</v>
      </c>
      <c r="B5" s="2034" t="e">
        <f>#REF!</f>
        <v>#REF!</v>
      </c>
      <c r="C5" s="2035"/>
      <c r="D5" s="2035"/>
      <c r="E5" s="2035"/>
      <c r="F5" s="2035"/>
      <c r="G5" s="2035"/>
      <c r="H5" s="2035"/>
      <c r="I5" s="2036"/>
      <c r="K5" s="99">
        <v>1</v>
      </c>
    </row>
    <row r="6" spans="1:11" s="103" customFormat="1">
      <c r="A6" s="44" t="e">
        <f>#REF!</f>
        <v>#REF!</v>
      </c>
      <c r="B6" s="45" t="e">
        <f>#REF!</f>
        <v>#REF!</v>
      </c>
      <c r="C6" s="20"/>
      <c r="D6" s="20"/>
      <c r="E6" s="20"/>
      <c r="F6" s="100"/>
      <c r="G6" s="101"/>
      <c r="H6" s="133"/>
      <c r="I6" s="102">
        <f>SUM(I7:I10)</f>
        <v>32000</v>
      </c>
      <c r="K6" s="99">
        <v>2</v>
      </c>
    </row>
    <row r="7" spans="1:11">
      <c r="A7" s="15">
        <v>1</v>
      </c>
      <c r="B7" s="7" t="s">
        <v>73</v>
      </c>
      <c r="C7" s="8" t="str">
        <f>Gia_Tbi!C4</f>
        <v>cái</v>
      </c>
      <c r="D7" s="8">
        <f>Gia_Tbi!D4</f>
        <v>0.4</v>
      </c>
      <c r="E7" s="8">
        <f>Gia_Tbi!E4</f>
        <v>5</v>
      </c>
      <c r="F7" s="104">
        <f>Gia_Tbi!F4</f>
        <v>10000000</v>
      </c>
      <c r="G7" s="105">
        <f>Gia_Tbi!G4</f>
        <v>4000</v>
      </c>
      <c r="H7" s="196">
        <v>4</v>
      </c>
      <c r="I7" s="106">
        <f>G7*H7</f>
        <v>16000</v>
      </c>
      <c r="K7" s="99">
        <v>3</v>
      </c>
    </row>
    <row r="8" spans="1:11">
      <c r="A8" s="15">
        <v>2</v>
      </c>
      <c r="B8" s="7" t="s">
        <v>74</v>
      </c>
      <c r="C8" s="8" t="str">
        <f>Gia_Tbi!C5</f>
        <v>cái</v>
      </c>
      <c r="D8" s="8">
        <f>Gia_Tbi!D5</f>
        <v>0.6</v>
      </c>
      <c r="E8" s="8">
        <f>Gia_Tbi!E5</f>
        <v>5</v>
      </c>
      <c r="F8" s="104">
        <f>Gia_Tbi!F5</f>
        <v>2500000</v>
      </c>
      <c r="G8" s="105">
        <f>Gia_Tbi!G5</f>
        <v>1000</v>
      </c>
      <c r="H8" s="196">
        <v>0.5</v>
      </c>
      <c r="I8" s="106">
        <f>G8*H8</f>
        <v>500</v>
      </c>
      <c r="K8" s="99">
        <v>4</v>
      </c>
    </row>
    <row r="9" spans="1:11">
      <c r="A9" s="15">
        <v>3</v>
      </c>
      <c r="B9" s="7" t="s">
        <v>24</v>
      </c>
      <c r="C9" s="8" t="str">
        <f>Gia_Tbi!C6</f>
        <v>cái</v>
      </c>
      <c r="D9" s="8">
        <f>Gia_Tbi!D6</f>
        <v>2.2000000000000002</v>
      </c>
      <c r="E9" s="8">
        <f>Gia_Tbi!E6</f>
        <v>8</v>
      </c>
      <c r="F9" s="104">
        <f>Gia_Tbi!F6</f>
        <v>12000000</v>
      </c>
      <c r="G9" s="105">
        <f>Gia_Tbi!G6</f>
        <v>3000</v>
      </c>
      <c r="H9" s="196">
        <v>1.5</v>
      </c>
      <c r="I9" s="106">
        <f>G9*H9</f>
        <v>4500</v>
      </c>
      <c r="K9" s="99">
        <v>5</v>
      </c>
    </row>
    <row r="10" spans="1:11">
      <c r="A10" s="15">
        <v>4</v>
      </c>
      <c r="B10" s="7" t="s">
        <v>23</v>
      </c>
      <c r="C10" s="8" t="str">
        <f>Gia_Tbi!C7</f>
        <v>cái</v>
      </c>
      <c r="D10" s="8">
        <f>Gia_Tbi!D7</f>
        <v>1.5</v>
      </c>
      <c r="E10" s="8">
        <f>Gia_Tbi!E7</f>
        <v>8</v>
      </c>
      <c r="F10" s="104">
        <f>Gia_Tbi!F7</f>
        <v>44000000</v>
      </c>
      <c r="G10" s="105">
        <f>Gia_Tbi!G7</f>
        <v>11000</v>
      </c>
      <c r="H10" s="196">
        <v>1</v>
      </c>
      <c r="I10" s="106">
        <f>G10*H10</f>
        <v>11000</v>
      </c>
      <c r="K10" s="99">
        <v>6</v>
      </c>
    </row>
    <row r="11" spans="1:11">
      <c r="A11" s="57">
        <v>5</v>
      </c>
      <c r="B11" s="58" t="s">
        <v>8</v>
      </c>
      <c r="C11" s="59" t="str">
        <f>Gia_Tbi!C10</f>
        <v>Cái</v>
      </c>
      <c r="D11" s="59">
        <f>Gia_Tbi!D10</f>
        <v>1</v>
      </c>
      <c r="E11" s="140">
        <f>Gia_Tbi!E10</f>
        <v>10</v>
      </c>
      <c r="F11" s="108">
        <f>Gia_Tbi!F10</f>
        <v>80000000</v>
      </c>
      <c r="G11" s="109">
        <f>Gia_Tbi!G10</f>
        <v>16000</v>
      </c>
      <c r="H11" s="197">
        <f>(H7*D7+H8*D8+H9*D9+H10*D10)*8</f>
        <v>53.6</v>
      </c>
      <c r="I11" s="144">
        <f>G11*H11*E11</f>
        <v>8576000</v>
      </c>
      <c r="K11" s="99">
        <v>7</v>
      </c>
    </row>
    <row r="12" spans="1:11" s="103" customFormat="1">
      <c r="A12" s="2028" t="e">
        <f>#REF!</f>
        <v>#REF!</v>
      </c>
      <c r="B12" s="2031" t="e">
        <f>#REF!</f>
        <v>#REF!</v>
      </c>
      <c r="C12" s="20"/>
      <c r="D12" s="131" t="s">
        <v>103</v>
      </c>
      <c r="E12" s="20"/>
      <c r="F12" s="100"/>
      <c r="G12" s="114"/>
      <c r="H12" s="132">
        <v>0.8</v>
      </c>
      <c r="I12" s="102">
        <f>H12*I13</f>
        <v>25600</v>
      </c>
      <c r="K12" s="99">
        <v>8</v>
      </c>
    </row>
    <row r="13" spans="1:11" s="103" customFormat="1">
      <c r="A13" s="2029"/>
      <c r="B13" s="2032"/>
      <c r="C13" s="20"/>
      <c r="D13" s="131" t="s">
        <v>104</v>
      </c>
      <c r="E13" s="20"/>
      <c r="F13" s="100"/>
      <c r="G13" s="114"/>
      <c r="H13" s="132">
        <v>1</v>
      </c>
      <c r="I13" s="102">
        <f>SUM(I15:I18)</f>
        <v>32000</v>
      </c>
      <c r="K13" s="99">
        <v>9</v>
      </c>
    </row>
    <row r="14" spans="1:11" s="103" customFormat="1">
      <c r="A14" s="2030"/>
      <c r="B14" s="2033"/>
      <c r="C14" s="20"/>
      <c r="D14" s="131" t="s">
        <v>105</v>
      </c>
      <c r="E14" s="20"/>
      <c r="F14" s="100"/>
      <c r="G14" s="114"/>
      <c r="H14" s="132">
        <v>1.2</v>
      </c>
      <c r="I14" s="102">
        <f>H14*I13</f>
        <v>38400</v>
      </c>
      <c r="K14" s="99">
        <v>10</v>
      </c>
    </row>
    <row r="15" spans="1:11">
      <c r="A15" s="15">
        <v>1</v>
      </c>
      <c r="B15" s="7" t="s">
        <v>73</v>
      </c>
      <c r="C15" s="8" t="str">
        <f>Gia_Tbi!C4</f>
        <v>cái</v>
      </c>
      <c r="D15" s="8">
        <f>Gia_Tbi!D4</f>
        <v>0.4</v>
      </c>
      <c r="E15" s="8">
        <f>Gia_Tbi!E4</f>
        <v>5</v>
      </c>
      <c r="F15" s="104">
        <f>Gia_Tbi!F4</f>
        <v>10000000</v>
      </c>
      <c r="G15" s="105">
        <f>Gia_Tbi!G4</f>
        <v>4000</v>
      </c>
      <c r="H15" s="196">
        <v>4</v>
      </c>
      <c r="I15" s="106">
        <f>G15*H15</f>
        <v>16000</v>
      </c>
      <c r="K15" s="99">
        <v>11</v>
      </c>
    </row>
    <row r="16" spans="1:11">
      <c r="A16" s="15">
        <v>2</v>
      </c>
      <c r="B16" s="7" t="s">
        <v>74</v>
      </c>
      <c r="C16" s="8" t="str">
        <f>Gia_Tbi!C5</f>
        <v>cái</v>
      </c>
      <c r="D16" s="8">
        <f>Gia_Tbi!D5</f>
        <v>0.6</v>
      </c>
      <c r="E16" s="8">
        <f>Gia_Tbi!E5</f>
        <v>5</v>
      </c>
      <c r="F16" s="104">
        <f>Gia_Tbi!F5</f>
        <v>2500000</v>
      </c>
      <c r="G16" s="105">
        <f>Gia_Tbi!G5</f>
        <v>1000</v>
      </c>
      <c r="H16" s="196">
        <v>0.5</v>
      </c>
      <c r="I16" s="106">
        <f>G16*H16</f>
        <v>500</v>
      </c>
      <c r="K16" s="99">
        <v>12</v>
      </c>
    </row>
    <row r="17" spans="1:11">
      <c r="A17" s="15">
        <v>3</v>
      </c>
      <c r="B17" s="7" t="s">
        <v>24</v>
      </c>
      <c r="C17" s="8" t="str">
        <f>Gia_Tbi!C6</f>
        <v>cái</v>
      </c>
      <c r="D17" s="8">
        <f>Gia_Tbi!D6</f>
        <v>2.2000000000000002</v>
      </c>
      <c r="E17" s="8">
        <f>Gia_Tbi!E6</f>
        <v>8</v>
      </c>
      <c r="F17" s="104">
        <f>Gia_Tbi!F6</f>
        <v>12000000</v>
      </c>
      <c r="G17" s="105">
        <f>Gia_Tbi!G6</f>
        <v>3000</v>
      </c>
      <c r="H17" s="196">
        <v>1.5</v>
      </c>
      <c r="I17" s="106">
        <f>G17*H17</f>
        <v>4500</v>
      </c>
      <c r="K17" s="99">
        <v>13</v>
      </c>
    </row>
    <row r="18" spans="1:11">
      <c r="A18" s="15">
        <v>4</v>
      </c>
      <c r="B18" s="7" t="s">
        <v>23</v>
      </c>
      <c r="C18" s="8" t="str">
        <f>Gia_Tbi!C7</f>
        <v>cái</v>
      </c>
      <c r="D18" s="8">
        <f>Gia_Tbi!D7</f>
        <v>1.5</v>
      </c>
      <c r="E18" s="8">
        <f>Gia_Tbi!E7</f>
        <v>8</v>
      </c>
      <c r="F18" s="104">
        <f>Gia_Tbi!F7</f>
        <v>44000000</v>
      </c>
      <c r="G18" s="105">
        <f>Gia_Tbi!G7</f>
        <v>11000</v>
      </c>
      <c r="H18" s="196">
        <v>1</v>
      </c>
      <c r="I18" s="106">
        <f>G18*H18</f>
        <v>11000</v>
      </c>
      <c r="K18" s="99">
        <v>14</v>
      </c>
    </row>
    <row r="19" spans="1:11">
      <c r="A19" s="57">
        <v>5</v>
      </c>
      <c r="B19" s="58" t="s">
        <v>8</v>
      </c>
      <c r="C19" s="59" t="str">
        <f>Gia_Tbi!C10</f>
        <v>Cái</v>
      </c>
      <c r="D19" s="59">
        <f>Gia_Tbi!D10</f>
        <v>1</v>
      </c>
      <c r="E19" s="140">
        <f>Gia_Tbi!E10</f>
        <v>10</v>
      </c>
      <c r="F19" s="108">
        <f>Gia_Tbi!F10</f>
        <v>80000000</v>
      </c>
      <c r="G19" s="109">
        <f>Gia_Tbi!G10</f>
        <v>16000</v>
      </c>
      <c r="H19" s="197">
        <f>(H15*D15+H16*D16+H17*D17+H18*D18)*8</f>
        <v>53.6</v>
      </c>
      <c r="I19" s="144">
        <f>G19*H19*E19</f>
        <v>8576000</v>
      </c>
      <c r="K19" s="99">
        <v>15</v>
      </c>
    </row>
    <row r="20" spans="1:11" s="6" customFormat="1">
      <c r="A20" s="48" t="e">
        <f>#REF!</f>
        <v>#REF!</v>
      </c>
      <c r="B20" s="49" t="e">
        <f>#REF!</f>
        <v>#REF!</v>
      </c>
      <c r="C20" s="50"/>
      <c r="D20" s="50"/>
      <c r="E20" s="50"/>
      <c r="F20" s="111"/>
      <c r="G20" s="112"/>
      <c r="H20" s="198"/>
      <c r="I20" s="113">
        <f>I21+I34+I40</f>
        <v>972930</v>
      </c>
      <c r="K20" s="99">
        <v>16</v>
      </c>
    </row>
    <row r="21" spans="1:11" s="103" customFormat="1">
      <c r="A21" s="44" t="e">
        <f>#REF!</f>
        <v>#REF!</v>
      </c>
      <c r="B21" s="45" t="e">
        <f>#REF!</f>
        <v>#REF!</v>
      </c>
      <c r="C21" s="20"/>
      <c r="D21" s="20"/>
      <c r="E21" s="20"/>
      <c r="F21" s="100"/>
      <c r="G21" s="101"/>
      <c r="H21" s="133"/>
      <c r="I21" s="102">
        <f>I22+I28</f>
        <v>840220</v>
      </c>
      <c r="K21" s="99">
        <v>17</v>
      </c>
    </row>
    <row r="22" spans="1:11">
      <c r="A22" s="15" t="e">
        <f>#REF!</f>
        <v>#REF!</v>
      </c>
      <c r="B22" s="7" t="e">
        <f>#REF!</f>
        <v>#REF!</v>
      </c>
      <c r="C22" s="8"/>
      <c r="D22" s="8"/>
      <c r="E22" s="8"/>
      <c r="F22" s="104"/>
      <c r="G22" s="105"/>
      <c r="H22" s="196"/>
      <c r="I22" s="102">
        <f>SUM(I23:I26)</f>
        <v>197010</v>
      </c>
      <c r="K22" s="99">
        <v>18</v>
      </c>
    </row>
    <row r="23" spans="1:11">
      <c r="A23" s="15">
        <v>1</v>
      </c>
      <c r="B23" s="7" t="s">
        <v>73</v>
      </c>
      <c r="C23" s="8" t="str">
        <f>Gia_Tbi!C4</f>
        <v>cái</v>
      </c>
      <c r="D23" s="8">
        <f>Gia_Tbi!D4</f>
        <v>0.4</v>
      </c>
      <c r="E23" s="8">
        <f>Gia_Tbi!E4</f>
        <v>5</v>
      </c>
      <c r="F23" s="104">
        <f>Gia_Tbi!F4</f>
        <v>10000000</v>
      </c>
      <c r="G23" s="105">
        <f>Gia_Tbi!G4</f>
        <v>4000</v>
      </c>
      <c r="H23" s="196">
        <v>40</v>
      </c>
      <c r="I23" s="106">
        <f>G23*H23</f>
        <v>160000</v>
      </c>
      <c r="K23" s="99">
        <v>19</v>
      </c>
    </row>
    <row r="24" spans="1:11">
      <c r="A24" s="15">
        <v>2</v>
      </c>
      <c r="B24" s="7" t="s">
        <v>74</v>
      </c>
      <c r="C24" s="8" t="str">
        <f>Gia_Tbi!C5</f>
        <v>cái</v>
      </c>
      <c r="D24" s="8">
        <f>Gia_Tbi!D5</f>
        <v>0.6</v>
      </c>
      <c r="E24" s="8">
        <f>Gia_Tbi!E5</f>
        <v>5</v>
      </c>
      <c r="F24" s="104">
        <f>Gia_Tbi!F5</f>
        <v>2500000</v>
      </c>
      <c r="G24" s="105">
        <f>Gia_Tbi!G5</f>
        <v>1000</v>
      </c>
      <c r="H24" s="196">
        <v>0.5</v>
      </c>
      <c r="I24" s="106">
        <f>G24*H24</f>
        <v>500</v>
      </c>
      <c r="K24" s="99">
        <v>20</v>
      </c>
    </row>
    <row r="25" spans="1:11">
      <c r="A25" s="15">
        <v>3</v>
      </c>
      <c r="B25" s="7" t="s">
        <v>24</v>
      </c>
      <c r="C25" s="8" t="str">
        <f>Gia_Tbi!C6</f>
        <v>cái</v>
      </c>
      <c r="D25" s="8">
        <f>Gia_Tbi!D6</f>
        <v>2.2000000000000002</v>
      </c>
      <c r="E25" s="8">
        <f>Gia_Tbi!E6</f>
        <v>8</v>
      </c>
      <c r="F25" s="104">
        <f>Gia_Tbi!F6</f>
        <v>12000000</v>
      </c>
      <c r="G25" s="105">
        <f>Gia_Tbi!G6</f>
        <v>3000</v>
      </c>
      <c r="H25" s="196">
        <v>6.67</v>
      </c>
      <c r="I25" s="106">
        <f>G25*H25</f>
        <v>20010</v>
      </c>
      <c r="K25" s="99">
        <v>21</v>
      </c>
    </row>
    <row r="26" spans="1:11">
      <c r="A26" s="15">
        <v>4</v>
      </c>
      <c r="B26" s="7" t="s">
        <v>23</v>
      </c>
      <c r="C26" s="8" t="str">
        <f>Gia_Tbi!C7</f>
        <v>cái</v>
      </c>
      <c r="D26" s="8">
        <f>Gia_Tbi!D7</f>
        <v>1.5</v>
      </c>
      <c r="E26" s="8">
        <f>Gia_Tbi!E7</f>
        <v>8</v>
      </c>
      <c r="F26" s="104">
        <f>Gia_Tbi!F7</f>
        <v>44000000</v>
      </c>
      <c r="G26" s="105">
        <f>Gia_Tbi!G7</f>
        <v>11000</v>
      </c>
      <c r="H26" s="196">
        <v>1.5</v>
      </c>
      <c r="I26" s="106">
        <f>G26*H26</f>
        <v>16500</v>
      </c>
      <c r="K26" s="99">
        <v>22</v>
      </c>
    </row>
    <row r="27" spans="1:11">
      <c r="A27" s="57">
        <v>5</v>
      </c>
      <c r="B27" s="58" t="s">
        <v>8</v>
      </c>
      <c r="C27" s="59" t="str">
        <f>Gia_Tbi!C10</f>
        <v>Cái</v>
      </c>
      <c r="D27" s="59">
        <f>Gia_Tbi!D10</f>
        <v>1</v>
      </c>
      <c r="E27" s="140">
        <f>Gia_Tbi!E10</f>
        <v>10</v>
      </c>
      <c r="F27" s="108">
        <f>Gia_Tbi!F10</f>
        <v>80000000</v>
      </c>
      <c r="G27" s="109">
        <f>Gia_Tbi!G10</f>
        <v>16000</v>
      </c>
      <c r="H27" s="197">
        <f>(H23*D23+H24*D24+H25*D25+H26*D26)*8</f>
        <v>265.79200000000003</v>
      </c>
      <c r="I27" s="144">
        <f>G27*H27*E27</f>
        <v>42526720.000000007</v>
      </c>
      <c r="K27" s="99">
        <v>23</v>
      </c>
    </row>
    <row r="28" spans="1:11">
      <c r="A28" s="15" t="e">
        <f>#REF!</f>
        <v>#REF!</v>
      </c>
      <c r="B28" s="7" t="e">
        <f>#REF!</f>
        <v>#REF!</v>
      </c>
      <c r="C28" s="8"/>
      <c r="D28" s="8"/>
      <c r="E28" s="8"/>
      <c r="F28" s="104"/>
      <c r="G28" s="105"/>
      <c r="H28" s="196"/>
      <c r="I28" s="102">
        <f>SUM(I29:I32)</f>
        <v>643210</v>
      </c>
      <c r="K28" s="99">
        <v>24</v>
      </c>
    </row>
    <row r="29" spans="1:11">
      <c r="A29" s="15">
        <v>1</v>
      </c>
      <c r="B29" s="7" t="s">
        <v>73</v>
      </c>
      <c r="C29" s="8" t="str">
        <f>Gia_Tbi!C4</f>
        <v>cái</v>
      </c>
      <c r="D29" s="8">
        <f>Gia_Tbi!D4</f>
        <v>0.4</v>
      </c>
      <c r="E29" s="8">
        <f>Gia_Tbi!E4</f>
        <v>5</v>
      </c>
      <c r="F29" s="104">
        <f>Gia_Tbi!F4</f>
        <v>10000000</v>
      </c>
      <c r="G29" s="105">
        <f>Gia_Tbi!G4</f>
        <v>4000</v>
      </c>
      <c r="H29" s="196">
        <v>125</v>
      </c>
      <c r="I29" s="106">
        <f>G29*H29</f>
        <v>500000</v>
      </c>
      <c r="K29" s="99">
        <v>25</v>
      </c>
    </row>
    <row r="30" spans="1:11">
      <c r="A30" s="15">
        <v>2</v>
      </c>
      <c r="B30" s="7" t="s">
        <v>74</v>
      </c>
      <c r="C30" s="8" t="str">
        <f>Gia_Tbi!C5</f>
        <v>cái</v>
      </c>
      <c r="D30" s="8">
        <f>Gia_Tbi!D5</f>
        <v>0.6</v>
      </c>
      <c r="E30" s="8">
        <f>Gia_Tbi!E5</f>
        <v>5</v>
      </c>
      <c r="F30" s="104">
        <f>Gia_Tbi!F5</f>
        <v>2500000</v>
      </c>
      <c r="G30" s="105">
        <f>Gia_Tbi!G5</f>
        <v>1000</v>
      </c>
      <c r="H30" s="196">
        <v>5</v>
      </c>
      <c r="I30" s="106">
        <f>G30*H30</f>
        <v>5000</v>
      </c>
      <c r="K30" s="99">
        <v>26</v>
      </c>
    </row>
    <row r="31" spans="1:11">
      <c r="A31" s="15">
        <v>3</v>
      </c>
      <c r="B31" s="7" t="s">
        <v>24</v>
      </c>
      <c r="C31" s="8" t="str">
        <f>Gia_Tbi!C6</f>
        <v>cái</v>
      </c>
      <c r="D31" s="8">
        <f>Gia_Tbi!D6</f>
        <v>2.2000000000000002</v>
      </c>
      <c r="E31" s="8">
        <f>Gia_Tbi!E6</f>
        <v>8</v>
      </c>
      <c r="F31" s="104">
        <f>Gia_Tbi!F6</f>
        <v>12000000</v>
      </c>
      <c r="G31" s="105">
        <f>Gia_Tbi!G6</f>
        <v>3000</v>
      </c>
      <c r="H31" s="196">
        <v>41.67</v>
      </c>
      <c r="I31" s="106">
        <f>G31*H31</f>
        <v>125010</v>
      </c>
      <c r="K31" s="99">
        <v>27</v>
      </c>
    </row>
    <row r="32" spans="1:11">
      <c r="A32" s="15">
        <v>4</v>
      </c>
      <c r="B32" s="7" t="s">
        <v>23</v>
      </c>
      <c r="C32" s="8" t="str">
        <f>Gia_Tbi!C7</f>
        <v>cái</v>
      </c>
      <c r="D32" s="8">
        <f>Gia_Tbi!D7</f>
        <v>1.5</v>
      </c>
      <c r="E32" s="8">
        <f>Gia_Tbi!E7</f>
        <v>8</v>
      </c>
      <c r="F32" s="104">
        <f>Gia_Tbi!F7</f>
        <v>44000000</v>
      </c>
      <c r="G32" s="105">
        <f>Gia_Tbi!G7</f>
        <v>11000</v>
      </c>
      <c r="H32" s="196">
        <v>1.2</v>
      </c>
      <c r="I32" s="106">
        <f>G32*H32</f>
        <v>13200</v>
      </c>
      <c r="K32" s="99">
        <v>28</v>
      </c>
    </row>
    <row r="33" spans="1:11">
      <c r="A33" s="57">
        <v>5</v>
      </c>
      <c r="B33" s="58" t="s">
        <v>8</v>
      </c>
      <c r="C33" s="59" t="str">
        <f>Gia_Tbi!C10</f>
        <v>Cái</v>
      </c>
      <c r="D33" s="59">
        <f>Gia_Tbi!D10</f>
        <v>1</v>
      </c>
      <c r="E33" s="140">
        <f>Gia_Tbi!E10</f>
        <v>10</v>
      </c>
      <c r="F33" s="108">
        <f>Gia_Tbi!F10</f>
        <v>80000000</v>
      </c>
      <c r="G33" s="109">
        <f>Gia_Tbi!G10</f>
        <v>16000</v>
      </c>
      <c r="H33" s="197">
        <f>(H29*D29+H30*D30+H31*D31+H32*D32)*8</f>
        <v>1171.7920000000001</v>
      </c>
      <c r="I33" s="144">
        <f>G33*H33*E33</f>
        <v>187486720.00000003</v>
      </c>
      <c r="K33" s="99">
        <v>29</v>
      </c>
    </row>
    <row r="34" spans="1:11" s="103" customFormat="1">
      <c r="A34" s="44" t="e">
        <f>#REF!</f>
        <v>#REF!</v>
      </c>
      <c r="B34" s="45" t="e">
        <f>#REF!</f>
        <v>#REF!</v>
      </c>
      <c r="C34" s="20"/>
      <c r="D34" s="20"/>
      <c r="E34" s="20"/>
      <c r="F34" s="100"/>
      <c r="G34" s="101"/>
      <c r="H34" s="133"/>
      <c r="I34" s="102">
        <f>SUM(I35:I38)</f>
        <v>105710</v>
      </c>
      <c r="K34" s="99">
        <v>30</v>
      </c>
    </row>
    <row r="35" spans="1:11">
      <c r="A35" s="15">
        <v>1</v>
      </c>
      <c r="B35" s="7" t="s">
        <v>73</v>
      </c>
      <c r="C35" s="8" t="str">
        <f>Gia_Tbi!C4</f>
        <v>cái</v>
      </c>
      <c r="D35" s="8">
        <f>Gia_Tbi!D4</f>
        <v>0.4</v>
      </c>
      <c r="E35" s="8">
        <f>Gia_Tbi!E4</f>
        <v>5</v>
      </c>
      <c r="F35" s="104">
        <f>Gia_Tbi!F4</f>
        <v>10000000</v>
      </c>
      <c r="G35" s="105">
        <f>Gia_Tbi!G4</f>
        <v>4000</v>
      </c>
      <c r="H35" s="196">
        <v>20</v>
      </c>
      <c r="I35" s="106">
        <f>G35*H35</f>
        <v>80000</v>
      </c>
      <c r="K35" s="99">
        <v>31</v>
      </c>
    </row>
    <row r="36" spans="1:11">
      <c r="A36" s="15">
        <v>2</v>
      </c>
      <c r="B36" s="7" t="s">
        <v>74</v>
      </c>
      <c r="C36" s="8" t="str">
        <f>Gia_Tbi!C5</f>
        <v>cái</v>
      </c>
      <c r="D36" s="8">
        <f>Gia_Tbi!D5</f>
        <v>0.6</v>
      </c>
      <c r="E36" s="8">
        <f>Gia_Tbi!E5</f>
        <v>5</v>
      </c>
      <c r="F36" s="104">
        <f>Gia_Tbi!F5</f>
        <v>2500000</v>
      </c>
      <c r="G36" s="105">
        <f>Gia_Tbi!G5</f>
        <v>1000</v>
      </c>
      <c r="H36" s="196">
        <v>0.2</v>
      </c>
      <c r="I36" s="106">
        <f>G36*H36</f>
        <v>200</v>
      </c>
      <c r="K36" s="99">
        <v>32</v>
      </c>
    </row>
    <row r="37" spans="1:11">
      <c r="A37" s="15">
        <v>3</v>
      </c>
      <c r="B37" s="7" t="s">
        <v>24</v>
      </c>
      <c r="C37" s="8" t="str">
        <f>Gia_Tbi!C6</f>
        <v>cái</v>
      </c>
      <c r="D37" s="8">
        <f>Gia_Tbi!D6</f>
        <v>2.2000000000000002</v>
      </c>
      <c r="E37" s="8">
        <f>Gia_Tbi!E6</f>
        <v>8</v>
      </c>
      <c r="F37" s="104">
        <f>Gia_Tbi!F6</f>
        <v>12000000</v>
      </c>
      <c r="G37" s="105">
        <f>Gia_Tbi!G6</f>
        <v>3000</v>
      </c>
      <c r="H37" s="196">
        <v>6.67</v>
      </c>
      <c r="I37" s="106">
        <f>G37*H37</f>
        <v>20010</v>
      </c>
      <c r="K37" s="99">
        <v>33</v>
      </c>
    </row>
    <row r="38" spans="1:11">
      <c r="A38" s="15">
        <v>4</v>
      </c>
      <c r="B38" s="7" t="s">
        <v>23</v>
      </c>
      <c r="C38" s="8" t="str">
        <f>Gia_Tbi!C7</f>
        <v>cái</v>
      </c>
      <c r="D38" s="8">
        <f>Gia_Tbi!D7</f>
        <v>1.5</v>
      </c>
      <c r="E38" s="8">
        <f>Gia_Tbi!E7</f>
        <v>8</v>
      </c>
      <c r="F38" s="104">
        <f>Gia_Tbi!F7</f>
        <v>44000000</v>
      </c>
      <c r="G38" s="105">
        <f>Gia_Tbi!G7</f>
        <v>11000</v>
      </c>
      <c r="H38" s="196">
        <v>0.5</v>
      </c>
      <c r="I38" s="106">
        <f>G38*H38</f>
        <v>5500</v>
      </c>
      <c r="K38" s="99">
        <v>34</v>
      </c>
    </row>
    <row r="39" spans="1:11">
      <c r="A39" s="57">
        <v>5</v>
      </c>
      <c r="B39" s="58" t="s">
        <v>8</v>
      </c>
      <c r="C39" s="59" t="str">
        <f>Gia_Tbi!C10</f>
        <v>Cái</v>
      </c>
      <c r="D39" s="59">
        <f>Gia_Tbi!D10</f>
        <v>1</v>
      </c>
      <c r="E39" s="140">
        <f>Gia_Tbi!E10</f>
        <v>10</v>
      </c>
      <c r="F39" s="108">
        <f>Gia_Tbi!F10</f>
        <v>80000000</v>
      </c>
      <c r="G39" s="109">
        <f>Gia_Tbi!G10</f>
        <v>16000</v>
      </c>
      <c r="H39" s="197">
        <f>(H35*D35+H36*D36+H37*D37+H38*D38)*8</f>
        <v>188.352</v>
      </c>
      <c r="I39" s="144">
        <f>G39*H39*E39</f>
        <v>30136320</v>
      </c>
      <c r="K39" s="99">
        <v>35</v>
      </c>
    </row>
    <row r="40" spans="1:11" s="103" customFormat="1">
      <c r="A40" s="44" t="e">
        <f>#REF!</f>
        <v>#REF!</v>
      </c>
      <c r="B40" s="45" t="e">
        <f>#REF!</f>
        <v>#REF!</v>
      </c>
      <c r="C40" s="20"/>
      <c r="D40" s="20"/>
      <c r="E40" s="20"/>
      <c r="F40" s="100"/>
      <c r="G40" s="101"/>
      <c r="H40" s="133"/>
      <c r="I40" s="102">
        <f>SUM(I41:I44)</f>
        <v>27000</v>
      </c>
      <c r="K40" s="99">
        <v>36</v>
      </c>
    </row>
    <row r="41" spans="1:11">
      <c r="A41" s="15">
        <v>1</v>
      </c>
      <c r="B41" s="7" t="s">
        <v>73</v>
      </c>
      <c r="C41" s="8" t="str">
        <f>Gia_Tbi!C4</f>
        <v>cái</v>
      </c>
      <c r="D41" s="8">
        <f>Gia_Tbi!D4</f>
        <v>0.4</v>
      </c>
      <c r="E41" s="8">
        <f>Gia_Tbi!E4</f>
        <v>5</v>
      </c>
      <c r="F41" s="104">
        <f>Gia_Tbi!F4</f>
        <v>10000000</v>
      </c>
      <c r="G41" s="105">
        <f>Gia_Tbi!G4</f>
        <v>4000</v>
      </c>
      <c r="H41" s="196">
        <v>4.2</v>
      </c>
      <c r="I41" s="106">
        <f>G41*H41</f>
        <v>16800</v>
      </c>
      <c r="K41" s="99">
        <v>37</v>
      </c>
    </row>
    <row r="42" spans="1:11">
      <c r="A42" s="15">
        <v>2</v>
      </c>
      <c r="B42" s="7" t="s">
        <v>74</v>
      </c>
      <c r="C42" s="8" t="str">
        <f>Gia_Tbi!C5</f>
        <v>cái</v>
      </c>
      <c r="D42" s="8">
        <f>Gia_Tbi!D5</f>
        <v>0.6</v>
      </c>
      <c r="E42" s="8">
        <f>Gia_Tbi!E5</f>
        <v>5</v>
      </c>
      <c r="F42" s="104">
        <f>Gia_Tbi!F5</f>
        <v>2500000</v>
      </c>
      <c r="G42" s="105">
        <f>Gia_Tbi!G5</f>
        <v>1000</v>
      </c>
      <c r="H42" s="196">
        <v>0.5</v>
      </c>
      <c r="I42" s="106">
        <f>G42*H42</f>
        <v>500</v>
      </c>
      <c r="K42" s="99">
        <v>38</v>
      </c>
    </row>
    <row r="43" spans="1:11">
      <c r="A43" s="15">
        <v>3</v>
      </c>
      <c r="B43" s="7" t="s">
        <v>24</v>
      </c>
      <c r="C43" s="8" t="str">
        <f>Gia_Tbi!C6</f>
        <v>cái</v>
      </c>
      <c r="D43" s="8">
        <f>Gia_Tbi!D6</f>
        <v>2.2000000000000002</v>
      </c>
      <c r="E43" s="8">
        <f>Gia_Tbi!E6</f>
        <v>8</v>
      </c>
      <c r="F43" s="104">
        <f>Gia_Tbi!F6</f>
        <v>12000000</v>
      </c>
      <c r="G43" s="105">
        <f>Gia_Tbi!G6</f>
        <v>3000</v>
      </c>
      <c r="H43" s="196">
        <v>1.4</v>
      </c>
      <c r="I43" s="106">
        <f>G43*H43</f>
        <v>4200</v>
      </c>
      <c r="K43" s="99">
        <v>39</v>
      </c>
    </row>
    <row r="44" spans="1:11">
      <c r="A44" s="15">
        <v>4</v>
      </c>
      <c r="B44" s="7" t="s">
        <v>23</v>
      </c>
      <c r="C44" s="8" t="str">
        <f>Gia_Tbi!C7</f>
        <v>cái</v>
      </c>
      <c r="D44" s="8">
        <f>Gia_Tbi!D7</f>
        <v>1.5</v>
      </c>
      <c r="E44" s="8">
        <f>Gia_Tbi!E7</f>
        <v>8</v>
      </c>
      <c r="F44" s="104">
        <f>Gia_Tbi!F7</f>
        <v>44000000</v>
      </c>
      <c r="G44" s="105">
        <f>Gia_Tbi!G7</f>
        <v>11000</v>
      </c>
      <c r="H44" s="196">
        <v>0.5</v>
      </c>
      <c r="I44" s="106">
        <f>G44*H44</f>
        <v>5500</v>
      </c>
      <c r="K44" s="99">
        <v>40</v>
      </c>
    </row>
    <row r="45" spans="1:11">
      <c r="A45" s="57">
        <v>5</v>
      </c>
      <c r="B45" s="58" t="s">
        <v>8</v>
      </c>
      <c r="C45" s="59" t="str">
        <f>Gia_Tbi!C10</f>
        <v>Cái</v>
      </c>
      <c r="D45" s="59">
        <f>Gia_Tbi!D10</f>
        <v>1</v>
      </c>
      <c r="E45" s="140">
        <f>Gia_Tbi!E10</f>
        <v>10</v>
      </c>
      <c r="F45" s="108">
        <f>Gia_Tbi!F10</f>
        <v>80000000</v>
      </c>
      <c r="G45" s="109">
        <f>Gia_Tbi!G10</f>
        <v>16000</v>
      </c>
      <c r="H45" s="197">
        <f>(H41*D41+H42*D42+H43*D43+H44*D44)*8</f>
        <v>46.480000000000004</v>
      </c>
      <c r="I45" s="144">
        <f>G45*H45*E45</f>
        <v>7436800.0000000009</v>
      </c>
      <c r="K45" s="99">
        <v>41</v>
      </c>
    </row>
    <row r="46" spans="1:11" s="6" customFormat="1">
      <c r="A46" s="14" t="e">
        <f>#REF!</f>
        <v>#REF!</v>
      </c>
      <c r="B46" s="10" t="e">
        <f>#REF!</f>
        <v>#REF!</v>
      </c>
      <c r="C46" s="9"/>
      <c r="D46" s="9"/>
      <c r="E46" s="9"/>
      <c r="F46" s="115"/>
      <c r="G46" s="116"/>
      <c r="H46" s="199"/>
      <c r="I46" s="117"/>
      <c r="K46" s="99">
        <v>42</v>
      </c>
    </row>
    <row r="47" spans="1:11" s="103" customFormat="1">
      <c r="A47" s="44" t="e">
        <f>#REF!</f>
        <v>#REF!</v>
      </c>
      <c r="B47" s="45" t="e">
        <f>#REF!</f>
        <v>#REF!</v>
      </c>
      <c r="C47" s="20"/>
      <c r="D47" s="20"/>
      <c r="E47" s="20"/>
      <c r="F47" s="100"/>
      <c r="G47" s="101"/>
      <c r="H47" s="133"/>
      <c r="I47" s="102">
        <f>SUM(I48:I51)</f>
        <v>25010</v>
      </c>
      <c r="K47" s="99">
        <v>43</v>
      </c>
    </row>
    <row r="48" spans="1:11">
      <c r="A48" s="15">
        <v>1</v>
      </c>
      <c r="B48" s="7" t="s">
        <v>73</v>
      </c>
      <c r="C48" s="8" t="str">
        <f>Gia_Tbi!C4</f>
        <v>cái</v>
      </c>
      <c r="D48" s="8">
        <f>Gia_Tbi!D4</f>
        <v>0.4</v>
      </c>
      <c r="E48" s="8">
        <f>Gia_Tbi!E4</f>
        <v>5</v>
      </c>
      <c r="F48" s="104">
        <f>Gia_Tbi!F4</f>
        <v>10000000</v>
      </c>
      <c r="G48" s="105">
        <f>Gia_Tbi!G4</f>
        <v>4000</v>
      </c>
      <c r="H48" s="196">
        <v>4</v>
      </c>
      <c r="I48" s="106">
        <f>G48*H48</f>
        <v>16000</v>
      </c>
      <c r="K48" s="99">
        <v>44</v>
      </c>
    </row>
    <row r="49" spans="1:11">
      <c r="A49" s="15">
        <v>2</v>
      </c>
      <c r="B49" s="7" t="s">
        <v>74</v>
      </c>
      <c r="C49" s="8" t="str">
        <f>Gia_Tbi!C5</f>
        <v>cái</v>
      </c>
      <c r="D49" s="8">
        <f>Gia_Tbi!D5</f>
        <v>0.6</v>
      </c>
      <c r="E49" s="8">
        <f>Gia_Tbi!E5</f>
        <v>5</v>
      </c>
      <c r="F49" s="104">
        <f>Gia_Tbi!F5</f>
        <v>2500000</v>
      </c>
      <c r="G49" s="105">
        <f>Gia_Tbi!G5</f>
        <v>1000</v>
      </c>
      <c r="H49" s="196">
        <v>1.5</v>
      </c>
      <c r="I49" s="106">
        <f>G49*H49</f>
        <v>1500</v>
      </c>
      <c r="K49" s="99">
        <v>45</v>
      </c>
    </row>
    <row r="50" spans="1:11">
      <c r="A50" s="15">
        <v>3</v>
      </c>
      <c r="B50" s="7" t="s">
        <v>24</v>
      </c>
      <c r="C50" s="8" t="str">
        <f>Gia_Tbi!C6</f>
        <v>cái</v>
      </c>
      <c r="D50" s="8">
        <f>Gia_Tbi!D6</f>
        <v>2.2000000000000002</v>
      </c>
      <c r="E50" s="8">
        <f>Gia_Tbi!E6</f>
        <v>8</v>
      </c>
      <c r="F50" s="104">
        <f>Gia_Tbi!F6</f>
        <v>12000000</v>
      </c>
      <c r="G50" s="105">
        <f>Gia_Tbi!G6</f>
        <v>3000</v>
      </c>
      <c r="H50" s="196">
        <v>0.67</v>
      </c>
      <c r="I50" s="106">
        <f>G50*H50</f>
        <v>2010.0000000000002</v>
      </c>
      <c r="K50" s="99">
        <v>46</v>
      </c>
    </row>
    <row r="51" spans="1:11">
      <c r="A51" s="15">
        <v>4</v>
      </c>
      <c r="B51" s="7" t="s">
        <v>23</v>
      </c>
      <c r="C51" s="8" t="str">
        <f>Gia_Tbi!C7</f>
        <v>cái</v>
      </c>
      <c r="D51" s="8">
        <f>Gia_Tbi!D7</f>
        <v>1.5</v>
      </c>
      <c r="E51" s="8">
        <f>Gia_Tbi!E7</f>
        <v>8</v>
      </c>
      <c r="F51" s="104">
        <f>Gia_Tbi!F7</f>
        <v>44000000</v>
      </c>
      <c r="G51" s="105">
        <f>Gia_Tbi!G7</f>
        <v>11000</v>
      </c>
      <c r="H51" s="196">
        <v>0.5</v>
      </c>
      <c r="I51" s="106">
        <f>G51*H51</f>
        <v>5500</v>
      </c>
      <c r="K51" s="99">
        <v>47</v>
      </c>
    </row>
    <row r="52" spans="1:11">
      <c r="A52" s="57">
        <v>5</v>
      </c>
      <c r="B52" s="58" t="s">
        <v>8</v>
      </c>
      <c r="C52" s="59" t="str">
        <f>Gia_Tbi!C10</f>
        <v>Cái</v>
      </c>
      <c r="D52" s="59">
        <f>Gia_Tbi!D10</f>
        <v>1</v>
      </c>
      <c r="E52" s="140">
        <f>Gia_Tbi!E10</f>
        <v>10</v>
      </c>
      <c r="F52" s="108">
        <f>Gia_Tbi!F10</f>
        <v>80000000</v>
      </c>
      <c r="G52" s="109">
        <f>Gia_Tbi!G10</f>
        <v>16000</v>
      </c>
      <c r="H52" s="197">
        <f>(H48*D48+H49*D49+H50*D50+H51*D51)*8</f>
        <v>37.792000000000002</v>
      </c>
      <c r="I52" s="144">
        <f>G52*H52*E52</f>
        <v>6046720</v>
      </c>
      <c r="K52" s="99">
        <v>48</v>
      </c>
    </row>
    <row r="53" spans="1:11" s="103" customFormat="1" hidden="1">
      <c r="A53" s="44" t="e">
        <f>#REF!</f>
        <v>#REF!</v>
      </c>
      <c r="B53" s="45" t="e">
        <f>#REF!</f>
        <v>#REF!</v>
      </c>
      <c r="C53" s="20"/>
      <c r="D53" s="20"/>
      <c r="E53" s="20"/>
      <c r="F53" s="100"/>
      <c r="G53" s="101"/>
      <c r="H53" s="133"/>
      <c r="I53" s="102"/>
      <c r="K53" s="99">
        <v>49</v>
      </c>
    </row>
    <row r="54" spans="1:11" hidden="1">
      <c r="A54" s="159" t="e">
        <f>#REF!</f>
        <v>#REF!</v>
      </c>
      <c r="B54" s="160" t="e">
        <f>#REF!</f>
        <v>#REF!</v>
      </c>
      <c r="C54" s="161"/>
      <c r="D54" s="161"/>
      <c r="E54" s="161"/>
      <c r="F54" s="172"/>
      <c r="G54" s="173"/>
      <c r="H54" s="200"/>
      <c r="I54" s="174"/>
      <c r="K54" s="99">
        <v>50</v>
      </c>
    </row>
    <row r="55" spans="1:11" hidden="1">
      <c r="A55" s="159" t="e">
        <f>#REF!</f>
        <v>#REF!</v>
      </c>
      <c r="B55" s="160" t="e">
        <f>#REF!</f>
        <v>#REF!</v>
      </c>
      <c r="C55" s="161"/>
      <c r="D55" s="161"/>
      <c r="E55" s="161"/>
      <c r="F55" s="172"/>
      <c r="G55" s="173"/>
      <c r="H55" s="200"/>
      <c r="I55" s="174"/>
      <c r="K55" s="99">
        <v>51</v>
      </c>
    </row>
    <row r="56" spans="1:11" hidden="1">
      <c r="A56" s="159" t="e">
        <f>#REF!</f>
        <v>#REF!</v>
      </c>
      <c r="B56" s="160" t="e">
        <f>#REF!</f>
        <v>#REF!</v>
      </c>
      <c r="C56" s="161"/>
      <c r="D56" s="161"/>
      <c r="E56" s="161"/>
      <c r="F56" s="172"/>
      <c r="G56" s="173"/>
      <c r="H56" s="200"/>
      <c r="I56" s="174"/>
      <c r="K56" s="99">
        <v>52</v>
      </c>
    </row>
    <row r="57" spans="1:11" hidden="1">
      <c r="A57" s="159" t="e">
        <f>#REF!</f>
        <v>#REF!</v>
      </c>
      <c r="B57" s="160" t="e">
        <f>#REF!</f>
        <v>#REF!</v>
      </c>
      <c r="C57" s="161"/>
      <c r="D57" s="161"/>
      <c r="E57" s="161"/>
      <c r="F57" s="172"/>
      <c r="G57" s="173"/>
      <c r="H57" s="200"/>
      <c r="I57" s="174"/>
      <c r="K57" s="99">
        <v>53</v>
      </c>
    </row>
    <row r="58" spans="1:11" hidden="1">
      <c r="A58" s="175" t="e">
        <f>#REF!</f>
        <v>#REF!</v>
      </c>
      <c r="B58" s="176" t="e">
        <f>#REF!</f>
        <v>#REF!</v>
      </c>
      <c r="C58" s="169"/>
      <c r="D58" s="169"/>
      <c r="E58" s="170"/>
      <c r="F58" s="177"/>
      <c r="G58" s="178"/>
      <c r="H58" s="201"/>
      <c r="I58" s="179"/>
      <c r="K58" s="99">
        <v>54</v>
      </c>
    </row>
    <row r="59" spans="1:11" s="6" customFormat="1" hidden="1">
      <c r="A59" s="164" t="e">
        <f>#REF!</f>
        <v>#REF!</v>
      </c>
      <c r="B59" s="165" t="e">
        <f>#REF!</f>
        <v>#REF!</v>
      </c>
      <c r="C59" s="166"/>
      <c r="D59" s="166"/>
      <c r="E59" s="166"/>
      <c r="F59" s="180"/>
      <c r="G59" s="181"/>
      <c r="H59" s="202"/>
      <c r="I59" s="182"/>
      <c r="K59" s="99">
        <v>55</v>
      </c>
    </row>
    <row r="60" spans="1:11" hidden="1">
      <c r="A60" s="159" t="e">
        <f>#REF!</f>
        <v>#REF!</v>
      </c>
      <c r="B60" s="160" t="e">
        <f>#REF!</f>
        <v>#REF!</v>
      </c>
      <c r="C60" s="161"/>
      <c r="D60" s="161"/>
      <c r="E60" s="161"/>
      <c r="F60" s="172"/>
      <c r="G60" s="173"/>
      <c r="H60" s="200"/>
      <c r="I60" s="174"/>
      <c r="K60" s="99">
        <v>56</v>
      </c>
    </row>
    <row r="61" spans="1:11" s="6" customFormat="1" hidden="1">
      <c r="A61" s="164" t="e">
        <f>#REF!</f>
        <v>#REF!</v>
      </c>
      <c r="B61" s="165" t="e">
        <f>#REF!</f>
        <v>#REF!</v>
      </c>
      <c r="C61" s="166"/>
      <c r="D61" s="166"/>
      <c r="E61" s="166"/>
      <c r="F61" s="180"/>
      <c r="G61" s="181"/>
      <c r="H61" s="202"/>
      <c r="I61" s="182"/>
      <c r="K61" s="99">
        <v>57</v>
      </c>
    </row>
    <row r="62" spans="1:11" hidden="1">
      <c r="A62" s="159" t="e">
        <f>#REF!</f>
        <v>#REF!</v>
      </c>
      <c r="B62" s="160" t="e">
        <f>#REF!</f>
        <v>#REF!</v>
      </c>
      <c r="C62" s="161"/>
      <c r="D62" s="161"/>
      <c r="E62" s="161"/>
      <c r="F62" s="172"/>
      <c r="G62" s="173"/>
      <c r="H62" s="200"/>
      <c r="I62" s="174"/>
      <c r="K62" s="99">
        <v>58</v>
      </c>
    </row>
    <row r="63" spans="1:11" hidden="1">
      <c r="A63" s="159" t="e">
        <f>#REF!</f>
        <v>#REF!</v>
      </c>
      <c r="B63" s="160" t="e">
        <f>#REF!</f>
        <v>#REF!</v>
      </c>
      <c r="C63" s="161"/>
      <c r="D63" s="161"/>
      <c r="E63" s="161"/>
      <c r="F63" s="172"/>
      <c r="G63" s="173"/>
      <c r="H63" s="200"/>
      <c r="I63" s="174"/>
      <c r="K63" s="99">
        <v>59</v>
      </c>
    </row>
    <row r="64" spans="1:11" hidden="1">
      <c r="A64" s="159" t="e">
        <f>#REF!</f>
        <v>#REF!</v>
      </c>
      <c r="B64" s="160" t="e">
        <f>#REF!</f>
        <v>#REF!</v>
      </c>
      <c r="C64" s="161"/>
      <c r="D64" s="161"/>
      <c r="E64" s="161"/>
      <c r="F64" s="172"/>
      <c r="G64" s="173"/>
      <c r="H64" s="200"/>
      <c r="I64" s="174"/>
      <c r="K64" s="99">
        <v>60</v>
      </c>
    </row>
    <row r="65" spans="1:11" hidden="1">
      <c r="A65" s="159" t="e">
        <f>#REF!</f>
        <v>#REF!</v>
      </c>
      <c r="B65" s="160" t="e">
        <f>#REF!</f>
        <v>#REF!</v>
      </c>
      <c r="C65" s="161"/>
      <c r="D65" s="161"/>
      <c r="E65" s="161"/>
      <c r="F65" s="172"/>
      <c r="G65" s="173"/>
      <c r="H65" s="200"/>
      <c r="I65" s="174"/>
      <c r="K65" s="99">
        <v>61</v>
      </c>
    </row>
    <row r="66" spans="1:11" hidden="1">
      <c r="A66" s="159" t="e">
        <f>#REF!</f>
        <v>#REF!</v>
      </c>
      <c r="B66" s="160" t="e">
        <f>#REF!</f>
        <v>#REF!</v>
      </c>
      <c r="C66" s="161"/>
      <c r="D66" s="161"/>
      <c r="E66" s="161"/>
      <c r="F66" s="172"/>
      <c r="G66" s="173"/>
      <c r="H66" s="200"/>
      <c r="I66" s="174"/>
      <c r="K66" s="99">
        <v>62</v>
      </c>
    </row>
    <row r="67" spans="1:11" hidden="1">
      <c r="A67" s="159" t="e">
        <f>#REF!</f>
        <v>#REF!</v>
      </c>
      <c r="B67" s="160" t="e">
        <f>#REF!</f>
        <v>#REF!</v>
      </c>
      <c r="C67" s="161"/>
      <c r="D67" s="161"/>
      <c r="E67" s="161"/>
      <c r="F67" s="172"/>
      <c r="G67" s="173"/>
      <c r="H67" s="200"/>
      <c r="I67" s="174"/>
      <c r="K67" s="99">
        <v>63</v>
      </c>
    </row>
    <row r="68" spans="1:11" hidden="1">
      <c r="A68" s="159" t="e">
        <f>#REF!</f>
        <v>#REF!</v>
      </c>
      <c r="B68" s="160" t="e">
        <f>#REF!</f>
        <v>#REF!</v>
      </c>
      <c r="C68" s="161"/>
      <c r="D68" s="161"/>
      <c r="E68" s="161"/>
      <c r="F68" s="172"/>
      <c r="G68" s="173"/>
      <c r="H68" s="200"/>
      <c r="I68" s="174"/>
      <c r="K68" s="99">
        <v>64</v>
      </c>
    </row>
    <row r="69" spans="1:11" hidden="1">
      <c r="A69" s="159" t="e">
        <f>#REF!</f>
        <v>#REF!</v>
      </c>
      <c r="B69" s="160" t="e">
        <f>#REF!</f>
        <v>#REF!</v>
      </c>
      <c r="C69" s="161"/>
      <c r="D69" s="161"/>
      <c r="E69" s="161"/>
      <c r="F69" s="172"/>
      <c r="G69" s="173"/>
      <c r="H69" s="200"/>
      <c r="I69" s="174"/>
      <c r="K69" s="99">
        <v>65</v>
      </c>
    </row>
    <row r="70" spans="1:11" hidden="1">
      <c r="A70" s="159" t="e">
        <f>#REF!</f>
        <v>#REF!</v>
      </c>
      <c r="B70" s="160" t="e">
        <f>#REF!</f>
        <v>#REF!</v>
      </c>
      <c r="C70" s="161"/>
      <c r="D70" s="161"/>
      <c r="E70" s="161"/>
      <c r="F70" s="172"/>
      <c r="G70" s="173"/>
      <c r="H70" s="200"/>
      <c r="I70" s="174"/>
      <c r="K70" s="99">
        <v>66</v>
      </c>
    </row>
    <row r="71" spans="1:11" hidden="1">
      <c r="A71" s="159" t="e">
        <f>#REF!</f>
        <v>#REF!</v>
      </c>
      <c r="B71" s="160" t="e">
        <f>#REF!</f>
        <v>#REF!</v>
      </c>
      <c r="C71" s="161"/>
      <c r="D71" s="161"/>
      <c r="E71" s="161"/>
      <c r="F71" s="172"/>
      <c r="G71" s="173"/>
      <c r="H71" s="200"/>
      <c r="I71" s="174"/>
      <c r="K71" s="99">
        <v>67</v>
      </c>
    </row>
    <row r="72" spans="1:11" hidden="1">
      <c r="A72" s="159" t="e">
        <f>#REF!</f>
        <v>#REF!</v>
      </c>
      <c r="B72" s="160" t="e">
        <f>#REF!</f>
        <v>#REF!</v>
      </c>
      <c r="C72" s="161"/>
      <c r="D72" s="161"/>
      <c r="E72" s="161"/>
      <c r="F72" s="172"/>
      <c r="G72" s="173"/>
      <c r="H72" s="200"/>
      <c r="I72" s="174"/>
      <c r="K72" s="99">
        <v>68</v>
      </c>
    </row>
    <row r="73" spans="1:11" hidden="1">
      <c r="A73" s="159" t="e">
        <f>#REF!</f>
        <v>#REF!</v>
      </c>
      <c r="B73" s="160" t="e">
        <f>#REF!</f>
        <v>#REF!</v>
      </c>
      <c r="C73" s="161"/>
      <c r="D73" s="161"/>
      <c r="E73" s="161"/>
      <c r="F73" s="172"/>
      <c r="G73" s="173"/>
      <c r="H73" s="200"/>
      <c r="I73" s="174"/>
      <c r="K73" s="99">
        <v>69</v>
      </c>
    </row>
    <row r="74" spans="1:11" s="6" customFormat="1">
      <c r="A74" s="14" t="e">
        <f>#REF!</f>
        <v>#REF!</v>
      </c>
      <c r="B74" s="10" t="e">
        <f>#REF!</f>
        <v>#REF!</v>
      </c>
      <c r="C74" s="9"/>
      <c r="D74" s="9"/>
      <c r="E74" s="9"/>
      <c r="F74" s="115"/>
      <c r="G74" s="116"/>
      <c r="H74" s="199"/>
      <c r="I74" s="117"/>
      <c r="K74" s="99">
        <v>70</v>
      </c>
    </row>
    <row r="75" spans="1:11" s="103" customFormat="1">
      <c r="A75" s="44" t="e">
        <f>#REF!</f>
        <v>#REF!</v>
      </c>
      <c r="B75" s="45" t="e">
        <f>#REF!</f>
        <v>#REF!</v>
      </c>
      <c r="C75" s="20"/>
      <c r="D75" s="20"/>
      <c r="E75" s="20"/>
      <c r="F75" s="100"/>
      <c r="G75" s="101"/>
      <c r="H75" s="133"/>
      <c r="I75" s="102">
        <f>SUM(I76:I79)</f>
        <v>516421</v>
      </c>
      <c r="K75" s="99">
        <v>71</v>
      </c>
    </row>
    <row r="76" spans="1:11">
      <c r="A76" s="15">
        <v>1</v>
      </c>
      <c r="B76" s="7" t="s">
        <v>73</v>
      </c>
      <c r="C76" s="8" t="str">
        <f>Gia_Tbi!C4</f>
        <v>cái</v>
      </c>
      <c r="D76" s="8">
        <f>Gia_Tbi!D4</f>
        <v>0.4</v>
      </c>
      <c r="E76" s="8">
        <f>Gia_Tbi!E4</f>
        <v>5</v>
      </c>
      <c r="F76" s="104">
        <f>Gia_Tbi!F4</f>
        <v>10000000</v>
      </c>
      <c r="G76" s="105">
        <f>Gia_Tbi!G4</f>
        <v>4000</v>
      </c>
      <c r="H76" s="196">
        <v>100</v>
      </c>
      <c r="I76" s="106">
        <f>G76*H76</f>
        <v>400000</v>
      </c>
      <c r="K76" s="99">
        <v>72</v>
      </c>
    </row>
    <row r="77" spans="1:11">
      <c r="A77" s="15">
        <v>2</v>
      </c>
      <c r="B77" s="7" t="s">
        <v>74</v>
      </c>
      <c r="C77" s="8" t="str">
        <f>Gia_Tbi!C5</f>
        <v>cái</v>
      </c>
      <c r="D77" s="8">
        <f>Gia_Tbi!D5</f>
        <v>0.6</v>
      </c>
      <c r="E77" s="8">
        <f>Gia_Tbi!E5</f>
        <v>5</v>
      </c>
      <c r="F77" s="104">
        <f>Gia_Tbi!F5</f>
        <v>2500000</v>
      </c>
      <c r="G77" s="105">
        <f>Gia_Tbi!G5</f>
        <v>1000</v>
      </c>
      <c r="H77" s="196">
        <v>4.5999999999999996</v>
      </c>
      <c r="I77" s="106">
        <f>G77*H77</f>
        <v>4600</v>
      </c>
      <c r="K77" s="99">
        <v>73</v>
      </c>
    </row>
    <row r="78" spans="1:11">
      <c r="A78" s="15">
        <v>3</v>
      </c>
      <c r="B78" s="7" t="s">
        <v>24</v>
      </c>
      <c r="C78" s="8" t="str">
        <f>Gia_Tbi!C6</f>
        <v>cái</v>
      </c>
      <c r="D78" s="8">
        <f>Gia_Tbi!D6</f>
        <v>2.2000000000000002</v>
      </c>
      <c r="E78" s="8">
        <f>Gia_Tbi!E6</f>
        <v>8</v>
      </c>
      <c r="F78" s="104">
        <f>Gia_Tbi!F6</f>
        <v>12000000</v>
      </c>
      <c r="G78" s="105">
        <f>Gia_Tbi!G6</f>
        <v>3000</v>
      </c>
      <c r="H78" s="196">
        <v>16.667000000000002</v>
      </c>
      <c r="I78" s="106">
        <f>G78*H78</f>
        <v>50001.000000000007</v>
      </c>
      <c r="K78" s="99">
        <v>74</v>
      </c>
    </row>
    <row r="79" spans="1:11">
      <c r="A79" s="15">
        <v>4</v>
      </c>
      <c r="B79" s="7" t="s">
        <v>23</v>
      </c>
      <c r="C79" s="8" t="str">
        <f>Gia_Tbi!C7</f>
        <v>cái</v>
      </c>
      <c r="D79" s="8">
        <f>Gia_Tbi!D7</f>
        <v>1.5</v>
      </c>
      <c r="E79" s="8">
        <f>Gia_Tbi!E7</f>
        <v>8</v>
      </c>
      <c r="F79" s="104">
        <f>Gia_Tbi!F7</f>
        <v>44000000</v>
      </c>
      <c r="G79" s="105">
        <f>Gia_Tbi!G7</f>
        <v>11000</v>
      </c>
      <c r="H79" s="196">
        <v>5.62</v>
      </c>
      <c r="I79" s="106">
        <f>G79*H79</f>
        <v>61820</v>
      </c>
      <c r="K79" s="99">
        <v>75</v>
      </c>
    </row>
    <row r="80" spans="1:11">
      <c r="A80" s="15">
        <v>5</v>
      </c>
      <c r="B80" s="7" t="s">
        <v>8</v>
      </c>
      <c r="C80" s="8" t="str">
        <f>Gia_Tbi!C10</f>
        <v>Cái</v>
      </c>
      <c r="D80" s="8">
        <f>Gia_Tbi!D10</f>
        <v>1</v>
      </c>
      <c r="E80" s="98">
        <f>Gia_Tbi!E10</f>
        <v>10</v>
      </c>
      <c r="F80" s="104">
        <f>Gia_Tbi!F10</f>
        <v>80000000</v>
      </c>
      <c r="G80" s="105">
        <f>Gia_Tbi!G10</f>
        <v>16000</v>
      </c>
      <c r="H80" s="197">
        <f>(H76*D76+H77*D77+H78*D78+H79*D79)*8</f>
        <v>702.8592000000001</v>
      </c>
      <c r="I80" s="144">
        <f>G80*H80*E80</f>
        <v>112457472.00000001</v>
      </c>
      <c r="K80" s="99">
        <v>76</v>
      </c>
    </row>
    <row r="81" spans="1:11" s="103" customFormat="1">
      <c r="A81" s="44" t="e">
        <f>#REF!</f>
        <v>#REF!</v>
      </c>
      <c r="B81" s="45" t="e">
        <f>#REF!</f>
        <v>#REF!</v>
      </c>
      <c r="C81" s="20"/>
      <c r="D81" s="20"/>
      <c r="E81" s="20"/>
      <c r="F81" s="100"/>
      <c r="G81" s="101"/>
      <c r="H81" s="133"/>
      <c r="I81" s="102">
        <f>SUM(I82:I85)</f>
        <v>516421</v>
      </c>
      <c r="K81" s="99">
        <v>77</v>
      </c>
    </row>
    <row r="82" spans="1:11">
      <c r="A82" s="15">
        <v>1</v>
      </c>
      <c r="B82" s="7" t="s">
        <v>73</v>
      </c>
      <c r="C82" s="8" t="str">
        <f>Gia_Tbi!C4</f>
        <v>cái</v>
      </c>
      <c r="D82" s="8">
        <f>Gia_Tbi!D4</f>
        <v>0.4</v>
      </c>
      <c r="E82" s="8">
        <f>Gia_Tbi!E4</f>
        <v>5</v>
      </c>
      <c r="F82" s="104">
        <f>Gia_Tbi!F4</f>
        <v>10000000</v>
      </c>
      <c r="G82" s="105">
        <f>Gia_Tbi!G4</f>
        <v>4000</v>
      </c>
      <c r="H82" s="196">
        <v>100</v>
      </c>
      <c r="I82" s="106">
        <f>G82*H82</f>
        <v>400000</v>
      </c>
      <c r="K82" s="99">
        <v>78</v>
      </c>
    </row>
    <row r="83" spans="1:11">
      <c r="A83" s="15">
        <v>2</v>
      </c>
      <c r="B83" s="7" t="s">
        <v>74</v>
      </c>
      <c r="C83" s="8" t="str">
        <f>Gia_Tbi!C5</f>
        <v>cái</v>
      </c>
      <c r="D83" s="8">
        <f>Gia_Tbi!D5</f>
        <v>0.6</v>
      </c>
      <c r="E83" s="8">
        <f>Gia_Tbi!E5</f>
        <v>5</v>
      </c>
      <c r="F83" s="104">
        <f>Gia_Tbi!F5</f>
        <v>2500000</v>
      </c>
      <c r="G83" s="105">
        <f>Gia_Tbi!G5</f>
        <v>1000</v>
      </c>
      <c r="H83" s="196">
        <v>4.5999999999999996</v>
      </c>
      <c r="I83" s="106">
        <f>G83*H83</f>
        <v>4600</v>
      </c>
      <c r="K83" s="99">
        <v>79</v>
      </c>
    </row>
    <row r="84" spans="1:11">
      <c r="A84" s="15">
        <v>3</v>
      </c>
      <c r="B84" s="7" t="s">
        <v>24</v>
      </c>
      <c r="C84" s="8" t="str">
        <f>Gia_Tbi!C6</f>
        <v>cái</v>
      </c>
      <c r="D84" s="8">
        <f>Gia_Tbi!D6</f>
        <v>2.2000000000000002</v>
      </c>
      <c r="E84" s="8">
        <f>Gia_Tbi!E6</f>
        <v>8</v>
      </c>
      <c r="F84" s="104">
        <f>Gia_Tbi!F6</f>
        <v>12000000</v>
      </c>
      <c r="G84" s="105">
        <f>Gia_Tbi!G6</f>
        <v>3000</v>
      </c>
      <c r="H84" s="196">
        <v>16.667000000000002</v>
      </c>
      <c r="I84" s="106">
        <f>G84*H84</f>
        <v>50001.000000000007</v>
      </c>
      <c r="K84" s="99">
        <v>80</v>
      </c>
    </row>
    <row r="85" spans="1:11">
      <c r="A85" s="15">
        <v>4</v>
      </c>
      <c r="B85" s="7" t="s">
        <v>23</v>
      </c>
      <c r="C85" s="8" t="str">
        <f>Gia_Tbi!C7</f>
        <v>cái</v>
      </c>
      <c r="D85" s="8">
        <f>Gia_Tbi!D7</f>
        <v>1.5</v>
      </c>
      <c r="E85" s="8">
        <f>Gia_Tbi!E7</f>
        <v>8</v>
      </c>
      <c r="F85" s="104">
        <f>Gia_Tbi!F7</f>
        <v>44000000</v>
      </c>
      <c r="G85" s="105">
        <f>Gia_Tbi!G7</f>
        <v>11000</v>
      </c>
      <c r="H85" s="196">
        <v>5.62</v>
      </c>
      <c r="I85" s="106">
        <f>G85*H85</f>
        <v>61820</v>
      </c>
      <c r="K85" s="99">
        <v>81</v>
      </c>
    </row>
    <row r="86" spans="1:11">
      <c r="A86" s="57">
        <v>5</v>
      </c>
      <c r="B86" s="58" t="s">
        <v>8</v>
      </c>
      <c r="C86" s="59" t="str">
        <f>Gia_Tbi!C10</f>
        <v>Cái</v>
      </c>
      <c r="D86" s="59">
        <f>Gia_Tbi!D10</f>
        <v>1</v>
      </c>
      <c r="E86" s="140">
        <f>Gia_Tbi!E10</f>
        <v>10</v>
      </c>
      <c r="F86" s="108">
        <f>Gia_Tbi!F10</f>
        <v>80000000</v>
      </c>
      <c r="G86" s="109">
        <f>Gia_Tbi!G10</f>
        <v>16000</v>
      </c>
      <c r="H86" s="197">
        <f>(H82*D82+H83*D83+H84*D84+H85*D85)*8</f>
        <v>702.8592000000001</v>
      </c>
      <c r="I86" s="144">
        <f>G86*H86*E86</f>
        <v>112457472.00000001</v>
      </c>
      <c r="K86" s="99">
        <v>82</v>
      </c>
    </row>
    <row r="87" spans="1:11" s="6" customFormat="1">
      <c r="A87" s="48" t="e">
        <f>#REF!</f>
        <v>#REF!</v>
      </c>
      <c r="B87" s="49" t="e">
        <f>#REF!</f>
        <v>#REF!</v>
      </c>
      <c r="C87" s="50"/>
      <c r="D87" s="50"/>
      <c r="E87" s="50"/>
      <c r="F87" s="111"/>
      <c r="G87" s="112"/>
      <c r="H87" s="198"/>
      <c r="I87" s="113"/>
      <c r="K87" s="99">
        <v>83</v>
      </c>
    </row>
    <row r="88" spans="1:11" s="103" customFormat="1">
      <c r="A88" s="44" t="e">
        <f>#REF!</f>
        <v>#REF!</v>
      </c>
      <c r="B88" s="45" t="e">
        <f>#REF!</f>
        <v>#REF!</v>
      </c>
      <c r="C88" s="20"/>
      <c r="D88" s="20"/>
      <c r="E88" s="20"/>
      <c r="F88" s="100"/>
      <c r="G88" s="101"/>
      <c r="H88" s="133"/>
      <c r="I88" s="102">
        <f>SUM(I89:I93)</f>
        <v>889</v>
      </c>
      <c r="K88" s="99">
        <v>84</v>
      </c>
    </row>
    <row r="89" spans="1:11">
      <c r="A89" s="15">
        <v>1</v>
      </c>
      <c r="B89" s="7" t="s">
        <v>73</v>
      </c>
      <c r="C89" s="8" t="str">
        <f>Gia_Tbi!C4</f>
        <v>cái</v>
      </c>
      <c r="D89" s="8">
        <f>Gia_Tbi!D4</f>
        <v>0.4</v>
      </c>
      <c r="E89" s="8">
        <f>Gia_Tbi!E4</f>
        <v>5</v>
      </c>
      <c r="F89" s="104">
        <f>Gia_Tbi!F4</f>
        <v>10000000</v>
      </c>
      <c r="G89" s="105">
        <f>Gia_Tbi!G4</f>
        <v>4000</v>
      </c>
      <c r="H89" s="196">
        <v>0.12</v>
      </c>
      <c r="I89" s="106">
        <f>G89*H89</f>
        <v>480</v>
      </c>
      <c r="K89" s="99">
        <v>85</v>
      </c>
    </row>
    <row r="90" spans="1:11">
      <c r="A90" s="15">
        <v>2</v>
      </c>
      <c r="B90" s="7" t="s">
        <v>74</v>
      </c>
      <c r="C90" s="8" t="str">
        <f>Gia_Tbi!C5</f>
        <v>cái</v>
      </c>
      <c r="D90" s="8">
        <f>Gia_Tbi!D5</f>
        <v>0.6</v>
      </c>
      <c r="E90" s="8">
        <f>Gia_Tbi!E5</f>
        <v>5</v>
      </c>
      <c r="F90" s="104">
        <f>Gia_Tbi!F5</f>
        <v>2500000</v>
      </c>
      <c r="G90" s="105">
        <f>Gia_Tbi!G5</f>
        <v>1000</v>
      </c>
      <c r="H90" s="196">
        <v>5.0000000000000001E-3</v>
      </c>
      <c r="I90" s="106">
        <f>G90*H90</f>
        <v>5</v>
      </c>
      <c r="K90" s="99">
        <v>86</v>
      </c>
    </row>
    <row r="91" spans="1:11">
      <c r="A91" s="15">
        <v>3</v>
      </c>
      <c r="B91" s="7" t="s">
        <v>89</v>
      </c>
      <c r="C91" s="8" t="str">
        <f>Gia_Tbi!C8</f>
        <v>cái</v>
      </c>
      <c r="D91" s="8">
        <f>Gia_Tbi!D8</f>
        <v>0.6</v>
      </c>
      <c r="E91" s="8">
        <f>Gia_Tbi!E8</f>
        <v>8</v>
      </c>
      <c r="F91" s="104">
        <f>Gia_Tbi!F8</f>
        <v>10000000</v>
      </c>
      <c r="G91" s="105">
        <f>Gia_Tbi!G8</f>
        <v>2500</v>
      </c>
      <c r="H91" s="196">
        <v>0.12</v>
      </c>
      <c r="I91" s="106">
        <f>G91*H91</f>
        <v>300</v>
      </c>
      <c r="K91" s="99">
        <v>87</v>
      </c>
    </row>
    <row r="92" spans="1:11">
      <c r="A92" s="15">
        <v>4</v>
      </c>
      <c r="B92" s="7" t="s">
        <v>24</v>
      </c>
      <c r="C92" s="8" t="str">
        <f>Gia_Tbi!C6</f>
        <v>cái</v>
      </c>
      <c r="D92" s="8">
        <f>Gia_Tbi!D6</f>
        <v>2.2000000000000002</v>
      </c>
      <c r="E92" s="8">
        <f>Gia_Tbi!E6</f>
        <v>8</v>
      </c>
      <c r="F92" s="104">
        <f>Gia_Tbi!F6</f>
        <v>12000000</v>
      </c>
      <c r="G92" s="105">
        <f>Gia_Tbi!G6</f>
        <v>3000</v>
      </c>
      <c r="H92" s="196">
        <v>0.02</v>
      </c>
      <c r="I92" s="106">
        <f>G92*H92</f>
        <v>60</v>
      </c>
      <c r="K92" s="99">
        <v>88</v>
      </c>
    </row>
    <row r="93" spans="1:11">
      <c r="A93" s="15">
        <v>5</v>
      </c>
      <c r="B93" s="7" t="s">
        <v>23</v>
      </c>
      <c r="C93" s="8" t="str">
        <f>Gia_Tbi!C7</f>
        <v>cái</v>
      </c>
      <c r="D93" s="8">
        <f>Gia_Tbi!D7</f>
        <v>1.5</v>
      </c>
      <c r="E93" s="8">
        <f>Gia_Tbi!E7</f>
        <v>8</v>
      </c>
      <c r="F93" s="104">
        <f>Gia_Tbi!F7</f>
        <v>44000000</v>
      </c>
      <c r="G93" s="105">
        <f>Gia_Tbi!G7</f>
        <v>11000</v>
      </c>
      <c r="H93" s="196">
        <v>4.0000000000000001E-3</v>
      </c>
      <c r="I93" s="106">
        <f>G93*H93</f>
        <v>44</v>
      </c>
      <c r="K93" s="99">
        <v>89</v>
      </c>
    </row>
    <row r="94" spans="1:11">
      <c r="A94" s="15">
        <v>6</v>
      </c>
      <c r="B94" s="7" t="s">
        <v>8</v>
      </c>
      <c r="C94" s="8" t="str">
        <f>Gia_Tbi!C10</f>
        <v>Cái</v>
      </c>
      <c r="D94" s="8">
        <f>Gia_Tbi!D10</f>
        <v>1</v>
      </c>
      <c r="E94" s="98">
        <f>Gia_Tbi!E10</f>
        <v>10</v>
      </c>
      <c r="F94" s="104">
        <f>Gia_Tbi!F10</f>
        <v>80000000</v>
      </c>
      <c r="G94" s="105">
        <f>Gia_Tbi!G10</f>
        <v>16000</v>
      </c>
      <c r="H94" s="197">
        <f>(H89*D89+H90*D90+H91*D91+H92*D92+H93*D93)*8</f>
        <v>1.3840000000000001</v>
      </c>
      <c r="I94" s="144">
        <f>G94*H94*E94</f>
        <v>221440.00000000003</v>
      </c>
      <c r="K94" s="99">
        <v>90</v>
      </c>
    </row>
    <row r="95" spans="1:11">
      <c r="A95" s="44" t="e">
        <f>#REF!</f>
        <v>#REF!</v>
      </c>
      <c r="B95" s="45" t="e">
        <f>#REF!</f>
        <v>#REF!</v>
      </c>
      <c r="C95" s="20"/>
      <c r="D95" s="20"/>
      <c r="E95" s="20"/>
      <c r="F95" s="100"/>
      <c r="G95" s="101"/>
      <c r="H95" s="218"/>
      <c r="I95" s="102"/>
      <c r="K95" s="99">
        <v>91</v>
      </c>
    </row>
    <row r="96" spans="1:11">
      <c r="A96" s="44" t="e">
        <f>#REF!</f>
        <v>#REF!</v>
      </c>
      <c r="B96" s="45" t="e">
        <f>#REF!</f>
        <v>#REF!</v>
      </c>
      <c r="C96" s="20"/>
      <c r="D96" s="20"/>
      <c r="E96" s="20"/>
      <c r="F96" s="100"/>
      <c r="G96" s="101"/>
      <c r="H96" s="218"/>
      <c r="I96" s="102"/>
      <c r="K96" s="99">
        <v>92</v>
      </c>
    </row>
    <row r="97" spans="1:11" s="103" customFormat="1">
      <c r="A97" s="44" t="e">
        <f>#REF!</f>
        <v>#REF!</v>
      </c>
      <c r="B97" s="45" t="e">
        <f>#REF!</f>
        <v>#REF!</v>
      </c>
      <c r="C97" s="20"/>
      <c r="D97" s="20"/>
      <c r="E97" s="20"/>
      <c r="F97" s="100"/>
      <c r="G97" s="101"/>
      <c r="H97" s="133"/>
      <c r="I97" s="102">
        <f>SUM(I98:I102)</f>
        <v>925</v>
      </c>
      <c r="K97" s="99">
        <v>93</v>
      </c>
    </row>
    <row r="98" spans="1:11">
      <c r="A98" s="15">
        <v>1</v>
      </c>
      <c r="B98" s="7" t="s">
        <v>73</v>
      </c>
      <c r="C98" s="8" t="str">
        <f>Gia_Tbi!C4</f>
        <v>cái</v>
      </c>
      <c r="D98" s="8">
        <f>Gia_Tbi!D4</f>
        <v>0.4</v>
      </c>
      <c r="E98" s="8">
        <f>Gia_Tbi!E4</f>
        <v>5</v>
      </c>
      <c r="F98" s="104">
        <f>Gia_Tbi!F4</f>
        <v>10000000</v>
      </c>
      <c r="G98" s="105">
        <f>Gia_Tbi!G4</f>
        <v>4000</v>
      </c>
      <c r="H98" s="196">
        <v>0.12</v>
      </c>
      <c r="I98" s="106">
        <f>G98*H98</f>
        <v>480</v>
      </c>
      <c r="K98" s="99">
        <v>94</v>
      </c>
    </row>
    <row r="99" spans="1:11">
      <c r="A99" s="15">
        <v>2</v>
      </c>
      <c r="B99" s="7" t="s">
        <v>74</v>
      </c>
      <c r="C99" s="8" t="str">
        <f>Gia_Tbi!C5</f>
        <v>cái</v>
      </c>
      <c r="D99" s="8">
        <f>Gia_Tbi!D5</f>
        <v>0.6</v>
      </c>
      <c r="E99" s="8">
        <f>Gia_Tbi!E5</f>
        <v>5</v>
      </c>
      <c r="F99" s="104">
        <f>Gia_Tbi!F5</f>
        <v>2500000</v>
      </c>
      <c r="G99" s="105">
        <f>Gia_Tbi!G5</f>
        <v>1000</v>
      </c>
      <c r="H99" s="196">
        <v>3.0000000000000001E-3</v>
      </c>
      <c r="I99" s="106">
        <f>G99*H99</f>
        <v>3</v>
      </c>
      <c r="K99" s="99">
        <v>95</v>
      </c>
    </row>
    <row r="100" spans="1:11">
      <c r="A100" s="15">
        <v>3</v>
      </c>
      <c r="B100" s="7" t="s">
        <v>89</v>
      </c>
      <c r="C100" s="8" t="str">
        <f>Gia_Tbi!C8</f>
        <v>cái</v>
      </c>
      <c r="D100" s="8">
        <f>Gia_Tbi!D8</f>
        <v>0.6</v>
      </c>
      <c r="E100" s="8">
        <f>Gia_Tbi!E8</f>
        <v>8</v>
      </c>
      <c r="F100" s="104">
        <f>Gia_Tbi!F8</f>
        <v>10000000</v>
      </c>
      <c r="G100" s="105">
        <f>Gia_Tbi!G8</f>
        <v>2500</v>
      </c>
      <c r="H100" s="196">
        <v>0.12</v>
      </c>
      <c r="I100" s="106">
        <f>G100*H100</f>
        <v>300</v>
      </c>
      <c r="K100" s="99">
        <v>96</v>
      </c>
    </row>
    <row r="101" spans="1:11">
      <c r="A101" s="15">
        <v>4</v>
      </c>
      <c r="B101" s="7" t="s">
        <v>24</v>
      </c>
      <c r="C101" s="8" t="str">
        <f>Gia_Tbi!C6</f>
        <v>cái</v>
      </c>
      <c r="D101" s="8">
        <f>Gia_Tbi!D6</f>
        <v>2.2000000000000002</v>
      </c>
      <c r="E101" s="8">
        <f>Gia_Tbi!E6</f>
        <v>8</v>
      </c>
      <c r="F101" s="104">
        <f>Gia_Tbi!F6</f>
        <v>12000000</v>
      </c>
      <c r="G101" s="105">
        <f>Gia_Tbi!G6</f>
        <v>3000</v>
      </c>
      <c r="H101" s="196">
        <v>0.04</v>
      </c>
      <c r="I101" s="106">
        <f>G101*H101</f>
        <v>120</v>
      </c>
      <c r="K101" s="99">
        <v>97</v>
      </c>
    </row>
    <row r="102" spans="1:11">
      <c r="A102" s="15">
        <v>5</v>
      </c>
      <c r="B102" s="7" t="s">
        <v>23</v>
      </c>
      <c r="C102" s="8" t="str">
        <f>Gia_Tbi!C7</f>
        <v>cái</v>
      </c>
      <c r="D102" s="8">
        <f>Gia_Tbi!D7</f>
        <v>1.5</v>
      </c>
      <c r="E102" s="8">
        <f>Gia_Tbi!E7</f>
        <v>8</v>
      </c>
      <c r="F102" s="104">
        <f>Gia_Tbi!F7</f>
        <v>44000000</v>
      </c>
      <c r="G102" s="105">
        <f>Gia_Tbi!G7</f>
        <v>11000</v>
      </c>
      <c r="H102" s="196">
        <v>2E-3</v>
      </c>
      <c r="I102" s="106">
        <f>G102*H102</f>
        <v>22</v>
      </c>
      <c r="K102" s="99">
        <v>98</v>
      </c>
    </row>
    <row r="103" spans="1:11">
      <c r="A103" s="15">
        <v>6</v>
      </c>
      <c r="B103" s="7" t="s">
        <v>8</v>
      </c>
      <c r="C103" s="8" t="str">
        <f>Gia_Tbi!C10</f>
        <v>Cái</v>
      </c>
      <c r="D103" s="8">
        <f>Gia_Tbi!D10</f>
        <v>1</v>
      </c>
      <c r="E103" s="98">
        <f>Gia_Tbi!E10</f>
        <v>10</v>
      </c>
      <c r="F103" s="104">
        <f>Gia_Tbi!F10</f>
        <v>80000000</v>
      </c>
      <c r="G103" s="105">
        <f>Gia_Tbi!G10</f>
        <v>16000</v>
      </c>
      <c r="H103" s="197">
        <f>(H98*D98+H99*D99+H100*D100+H101*D101+H102*D102)*8</f>
        <v>1.7023999999999999</v>
      </c>
      <c r="I103" s="144">
        <f>G103*H103*E103</f>
        <v>272384</v>
      </c>
      <c r="K103" s="99">
        <v>99</v>
      </c>
    </row>
    <row r="104" spans="1:11" s="103" customFormat="1">
      <c r="A104" s="44" t="e">
        <f>#REF!</f>
        <v>#REF!</v>
      </c>
      <c r="B104" s="45" t="e">
        <f>#REF!</f>
        <v>#REF!</v>
      </c>
      <c r="C104" s="20"/>
      <c r="D104" s="20"/>
      <c r="E104" s="20"/>
      <c r="F104" s="100"/>
      <c r="G104" s="101"/>
      <c r="H104" s="133"/>
      <c r="I104" s="102"/>
      <c r="K104" s="99">
        <v>100</v>
      </c>
    </row>
    <row r="105" spans="1:11">
      <c r="A105" s="57" t="e">
        <f>#REF!</f>
        <v>#REF!</v>
      </c>
      <c r="B105" s="58" t="e">
        <f>#REF!</f>
        <v>#REF!</v>
      </c>
      <c r="C105" s="59"/>
      <c r="D105" s="59"/>
      <c r="E105" s="59"/>
      <c r="F105" s="108"/>
      <c r="G105" s="109"/>
      <c r="H105" s="197"/>
      <c r="I105" s="110"/>
      <c r="K105" s="99">
        <v>101</v>
      </c>
    </row>
    <row r="106" spans="1:11" s="6" customFormat="1">
      <c r="A106" s="48" t="e">
        <f>#REF!</f>
        <v>#REF!</v>
      </c>
      <c r="B106" s="49" t="e">
        <f>#REF!</f>
        <v>#REF!</v>
      </c>
      <c r="C106" s="50"/>
      <c r="D106" s="50"/>
      <c r="E106" s="50"/>
      <c r="F106" s="111"/>
      <c r="G106" s="112"/>
      <c r="H106" s="198"/>
      <c r="I106" s="113"/>
      <c r="K106" s="99">
        <v>102</v>
      </c>
    </row>
    <row r="107" spans="1:11" s="103" customFormat="1">
      <c r="A107" s="44" t="e">
        <f>#REF!</f>
        <v>#REF!</v>
      </c>
      <c r="B107" s="45" t="e">
        <f>#REF!</f>
        <v>#REF!</v>
      </c>
      <c r="C107" s="20"/>
      <c r="D107" s="20"/>
      <c r="E107" s="20"/>
      <c r="F107" s="100"/>
      <c r="G107" s="101"/>
      <c r="H107" s="133"/>
      <c r="I107" s="102">
        <f>SUM(I108:I111)</f>
        <v>516010</v>
      </c>
      <c r="K107" s="99">
        <v>103</v>
      </c>
    </row>
    <row r="108" spans="1:11">
      <c r="A108" s="15">
        <v>1</v>
      </c>
      <c r="B108" s="7" t="s">
        <v>73</v>
      </c>
      <c r="C108" s="8" t="str">
        <f>Gia_Tbi!C4</f>
        <v>cái</v>
      </c>
      <c r="D108" s="8">
        <f>Gia_Tbi!D4</f>
        <v>0.4</v>
      </c>
      <c r="E108" s="8">
        <f>Gia_Tbi!E4</f>
        <v>5</v>
      </c>
      <c r="F108" s="104">
        <f>Gia_Tbi!F4</f>
        <v>10000000</v>
      </c>
      <c r="G108" s="105">
        <f>Gia_Tbi!G4</f>
        <v>4000</v>
      </c>
      <c r="H108" s="203">
        <v>105</v>
      </c>
      <c r="I108" s="106">
        <f>G108*H108</f>
        <v>420000</v>
      </c>
      <c r="K108" s="99">
        <v>104</v>
      </c>
    </row>
    <row r="109" spans="1:11">
      <c r="A109" s="15">
        <v>2</v>
      </c>
      <c r="B109" s="7" t="s">
        <v>74</v>
      </c>
      <c r="C109" s="8" t="str">
        <f>Gia_Tbi!C5</f>
        <v>cái</v>
      </c>
      <c r="D109" s="8">
        <f>Gia_Tbi!D5</f>
        <v>0.6</v>
      </c>
      <c r="E109" s="8">
        <f>Gia_Tbi!E5</f>
        <v>5</v>
      </c>
      <c r="F109" s="104">
        <f>Gia_Tbi!F5</f>
        <v>2500000</v>
      </c>
      <c r="G109" s="105">
        <f>Gia_Tbi!G5</f>
        <v>1000</v>
      </c>
      <c r="H109" s="203">
        <v>6</v>
      </c>
      <c r="I109" s="106">
        <f>G109*H109</f>
        <v>6000</v>
      </c>
      <c r="K109" s="99">
        <v>105</v>
      </c>
    </row>
    <row r="110" spans="1:11">
      <c r="A110" s="15">
        <v>3</v>
      </c>
      <c r="B110" s="7" t="s">
        <v>24</v>
      </c>
      <c r="C110" s="8" t="str">
        <f>Gia_Tbi!C6</f>
        <v>cái</v>
      </c>
      <c r="D110" s="8">
        <f>Gia_Tbi!D6</f>
        <v>2.2000000000000002</v>
      </c>
      <c r="E110" s="8">
        <f>Gia_Tbi!E6</f>
        <v>8</v>
      </c>
      <c r="F110" s="104">
        <f>Gia_Tbi!F6</f>
        <v>12000000</v>
      </c>
      <c r="G110" s="105">
        <f>Gia_Tbi!G6</f>
        <v>3000</v>
      </c>
      <c r="H110" s="203">
        <v>11.67</v>
      </c>
      <c r="I110" s="106">
        <f>G110*H110</f>
        <v>35010</v>
      </c>
      <c r="K110" s="99">
        <v>106</v>
      </c>
    </row>
    <row r="111" spans="1:11">
      <c r="A111" s="15">
        <v>4</v>
      </c>
      <c r="B111" s="7" t="s">
        <v>23</v>
      </c>
      <c r="C111" s="8" t="str">
        <f>Gia_Tbi!C7</f>
        <v>cái</v>
      </c>
      <c r="D111" s="8">
        <f>Gia_Tbi!D7</f>
        <v>1.5</v>
      </c>
      <c r="E111" s="8">
        <f>Gia_Tbi!E7</f>
        <v>8</v>
      </c>
      <c r="F111" s="104">
        <f>Gia_Tbi!F7</f>
        <v>44000000</v>
      </c>
      <c r="G111" s="105">
        <f>Gia_Tbi!G7</f>
        <v>11000</v>
      </c>
      <c r="H111" s="203">
        <v>5</v>
      </c>
      <c r="I111" s="106">
        <f>G111*H111</f>
        <v>55000</v>
      </c>
      <c r="K111" s="99">
        <v>107</v>
      </c>
    </row>
    <row r="112" spans="1:11">
      <c r="A112" s="15">
        <v>5</v>
      </c>
      <c r="B112" s="7" t="s">
        <v>8</v>
      </c>
      <c r="C112" s="8" t="str">
        <f>Gia_Tbi!C10</f>
        <v>Cái</v>
      </c>
      <c r="D112" s="8">
        <f>Gia_Tbi!D10</f>
        <v>1</v>
      </c>
      <c r="E112" s="98">
        <f>Gia_Tbi!E10</f>
        <v>10</v>
      </c>
      <c r="F112" s="104">
        <f>Gia_Tbi!F10</f>
        <v>80000000</v>
      </c>
      <c r="G112" s="105">
        <f>Gia_Tbi!G10</f>
        <v>16000</v>
      </c>
      <c r="H112" s="197">
        <f>(H108*D108+H109*D109+H110*D110+H111*D111)*8</f>
        <v>630.19200000000001</v>
      </c>
      <c r="I112" s="144">
        <f>G112*H112*E112</f>
        <v>100830720</v>
      </c>
      <c r="K112" s="99">
        <v>108</v>
      </c>
    </row>
    <row r="113" spans="1:11" s="103" customFormat="1">
      <c r="A113" s="44" t="e">
        <f>#REF!</f>
        <v>#REF!</v>
      </c>
      <c r="B113" s="45" t="e">
        <f>#REF!</f>
        <v>#REF!</v>
      </c>
      <c r="C113" s="20"/>
      <c r="D113" s="20"/>
      <c r="E113" s="20"/>
      <c r="F113" s="100"/>
      <c r="G113" s="101"/>
      <c r="H113" s="133"/>
      <c r="I113" s="102">
        <f>SUM(I114:I117)</f>
        <v>7660</v>
      </c>
      <c r="K113" s="99">
        <v>109</v>
      </c>
    </row>
    <row r="114" spans="1:11">
      <c r="A114" s="15">
        <v>1</v>
      </c>
      <c r="B114" s="7" t="s">
        <v>73</v>
      </c>
      <c r="C114" s="8" t="str">
        <f>Gia_Tbi!C4</f>
        <v>cái</v>
      </c>
      <c r="D114" s="8">
        <f>Gia_Tbi!D4</f>
        <v>0.4</v>
      </c>
      <c r="E114" s="8">
        <f>Gia_Tbi!E4</f>
        <v>5</v>
      </c>
      <c r="F114" s="104">
        <f>Gia_Tbi!F4</f>
        <v>10000000</v>
      </c>
      <c r="G114" s="105">
        <f>Gia_Tbi!G4</f>
        <v>4000</v>
      </c>
      <c r="H114" s="203">
        <v>1.46</v>
      </c>
      <c r="I114" s="106">
        <f>G114*H114</f>
        <v>5840</v>
      </c>
      <c r="K114" s="99">
        <v>110</v>
      </c>
    </row>
    <row r="115" spans="1:11">
      <c r="A115" s="15">
        <v>2</v>
      </c>
      <c r="B115" s="7" t="s">
        <v>74</v>
      </c>
      <c r="C115" s="8" t="str">
        <f>Gia_Tbi!C5</f>
        <v>cái</v>
      </c>
      <c r="D115" s="8">
        <f>Gia_Tbi!D5</f>
        <v>0.6</v>
      </c>
      <c r="E115" s="8">
        <f>Gia_Tbi!E5</f>
        <v>5</v>
      </c>
      <c r="F115" s="104">
        <f>Gia_Tbi!F5</f>
        <v>2500000</v>
      </c>
      <c r="G115" s="105">
        <f>Gia_Tbi!G5</f>
        <v>1000</v>
      </c>
      <c r="H115" s="203">
        <v>0.02</v>
      </c>
      <c r="I115" s="106">
        <f>G115*H115</f>
        <v>20</v>
      </c>
      <c r="K115" s="99">
        <v>111</v>
      </c>
    </row>
    <row r="116" spans="1:11">
      <c r="A116" s="15">
        <v>3</v>
      </c>
      <c r="B116" s="7" t="s">
        <v>24</v>
      </c>
      <c r="C116" s="8" t="str">
        <f>Gia_Tbi!C6</f>
        <v>cái</v>
      </c>
      <c r="D116" s="8">
        <f>Gia_Tbi!D6</f>
        <v>2.2000000000000002</v>
      </c>
      <c r="E116" s="8">
        <f>Gia_Tbi!E6</f>
        <v>8</v>
      </c>
      <c r="F116" s="104">
        <f>Gia_Tbi!F6</f>
        <v>12000000</v>
      </c>
      <c r="G116" s="105">
        <f>Gia_Tbi!G6</f>
        <v>3000</v>
      </c>
      <c r="H116" s="203">
        <v>0.49</v>
      </c>
      <c r="I116" s="106">
        <f>G116*H116</f>
        <v>1470</v>
      </c>
      <c r="K116" s="99">
        <v>112</v>
      </c>
    </row>
    <row r="117" spans="1:11">
      <c r="A117" s="15">
        <v>4</v>
      </c>
      <c r="B117" s="7" t="s">
        <v>23</v>
      </c>
      <c r="C117" s="8" t="str">
        <f>Gia_Tbi!C7</f>
        <v>cái</v>
      </c>
      <c r="D117" s="8">
        <f>Gia_Tbi!D7</f>
        <v>1.5</v>
      </c>
      <c r="E117" s="8">
        <f>Gia_Tbi!E7</f>
        <v>8</v>
      </c>
      <c r="F117" s="104">
        <f>Gia_Tbi!F7</f>
        <v>44000000</v>
      </c>
      <c r="G117" s="105">
        <f>Gia_Tbi!G7</f>
        <v>11000</v>
      </c>
      <c r="H117" s="203">
        <v>0.03</v>
      </c>
      <c r="I117" s="106">
        <f>G117*H117</f>
        <v>330</v>
      </c>
      <c r="K117" s="99">
        <v>113</v>
      </c>
    </row>
    <row r="118" spans="1:11">
      <c r="A118" s="57">
        <v>5</v>
      </c>
      <c r="B118" s="58" t="s">
        <v>8</v>
      </c>
      <c r="C118" s="59" t="str">
        <f>Gia_Tbi!C10</f>
        <v>Cái</v>
      </c>
      <c r="D118" s="59">
        <f>Gia_Tbi!D10</f>
        <v>1</v>
      </c>
      <c r="E118" s="140">
        <f>Gia_Tbi!E10</f>
        <v>10</v>
      </c>
      <c r="F118" s="108">
        <f>Gia_Tbi!F10</f>
        <v>80000000</v>
      </c>
      <c r="G118" s="109">
        <f>Gia_Tbi!G10</f>
        <v>16000</v>
      </c>
      <c r="H118" s="197">
        <f>(H114*D114+H115*D115+H116*D116+H117*D117)*8</f>
        <v>13.751999999999999</v>
      </c>
      <c r="I118" s="144">
        <f>G118*H118*E118</f>
        <v>2200319.9999999995</v>
      </c>
      <c r="K118" s="99">
        <v>114</v>
      </c>
    </row>
    <row r="119" spans="1:11" s="103" customFormat="1">
      <c r="A119" s="44" t="e">
        <f>#REF!</f>
        <v>#REF!</v>
      </c>
      <c r="B119" s="45" t="e">
        <f>#REF!</f>
        <v>#REF!</v>
      </c>
      <c r="C119" s="20"/>
      <c r="D119" s="20"/>
      <c r="E119" s="20"/>
      <c r="F119" s="100"/>
      <c r="G119" s="101"/>
      <c r="H119" s="133"/>
      <c r="I119" s="102">
        <f>SUM(I120:I123)</f>
        <v>312410</v>
      </c>
      <c r="K119" s="99">
        <v>115</v>
      </c>
    </row>
    <row r="120" spans="1:11">
      <c r="A120" s="15">
        <v>1</v>
      </c>
      <c r="B120" s="7" t="s">
        <v>73</v>
      </c>
      <c r="C120" s="8" t="str">
        <f>Gia_Tbi!C4</f>
        <v>cái</v>
      </c>
      <c r="D120" s="8">
        <f>Gia_Tbi!D4</f>
        <v>0.4</v>
      </c>
      <c r="E120" s="8">
        <f>Gia_Tbi!E4</f>
        <v>5</v>
      </c>
      <c r="F120" s="104">
        <f>Gia_Tbi!F4</f>
        <v>10000000</v>
      </c>
      <c r="G120" s="105">
        <f>Gia_Tbi!G4</f>
        <v>4000</v>
      </c>
      <c r="H120" s="203">
        <v>60</v>
      </c>
      <c r="I120" s="106">
        <f>G120*H120</f>
        <v>240000</v>
      </c>
      <c r="K120" s="99">
        <v>116</v>
      </c>
    </row>
    <row r="121" spans="1:11">
      <c r="A121" s="15">
        <v>2</v>
      </c>
      <c r="B121" s="7" t="s">
        <v>74</v>
      </c>
      <c r="C121" s="8" t="str">
        <f>Gia_Tbi!C5</f>
        <v>cái</v>
      </c>
      <c r="D121" s="8">
        <f>Gia_Tbi!D5</f>
        <v>0.6</v>
      </c>
      <c r="E121" s="8">
        <f>Gia_Tbi!E5</f>
        <v>5</v>
      </c>
      <c r="F121" s="104">
        <f>Gia_Tbi!F5</f>
        <v>2500000</v>
      </c>
      <c r="G121" s="105">
        <f>Gia_Tbi!G5</f>
        <v>1000</v>
      </c>
      <c r="H121" s="203">
        <v>5.65</v>
      </c>
      <c r="I121" s="106">
        <f>G121*H121</f>
        <v>5650</v>
      </c>
      <c r="K121" s="99">
        <v>117</v>
      </c>
    </row>
    <row r="122" spans="1:11">
      <c r="A122" s="15">
        <v>3</v>
      </c>
      <c r="B122" s="7" t="s">
        <v>24</v>
      </c>
      <c r="C122" s="8" t="str">
        <f>Gia_Tbi!C6</f>
        <v>cái</v>
      </c>
      <c r="D122" s="8">
        <f>Gia_Tbi!D6</f>
        <v>2.2000000000000002</v>
      </c>
      <c r="E122" s="8">
        <f>Gia_Tbi!E6</f>
        <v>8</v>
      </c>
      <c r="F122" s="104">
        <f>Gia_Tbi!F6</f>
        <v>12000000</v>
      </c>
      <c r="G122" s="105">
        <f>Gia_Tbi!G6</f>
        <v>3000</v>
      </c>
      <c r="H122" s="203">
        <v>6.67</v>
      </c>
      <c r="I122" s="106">
        <f>G122*H122</f>
        <v>20010</v>
      </c>
      <c r="K122" s="99">
        <v>118</v>
      </c>
    </row>
    <row r="123" spans="1:11">
      <c r="A123" s="15">
        <v>4</v>
      </c>
      <c r="B123" s="7" t="s">
        <v>23</v>
      </c>
      <c r="C123" s="8" t="str">
        <f>Gia_Tbi!C7</f>
        <v>cái</v>
      </c>
      <c r="D123" s="8">
        <f>Gia_Tbi!D7</f>
        <v>1.5</v>
      </c>
      <c r="E123" s="8">
        <f>Gia_Tbi!E7</f>
        <v>8</v>
      </c>
      <c r="F123" s="104">
        <f>Gia_Tbi!F7</f>
        <v>44000000</v>
      </c>
      <c r="G123" s="105">
        <f>Gia_Tbi!G7</f>
        <v>11000</v>
      </c>
      <c r="H123" s="203">
        <v>4.25</v>
      </c>
      <c r="I123" s="106">
        <f>G123*H123</f>
        <v>46750</v>
      </c>
      <c r="K123" s="99">
        <v>119</v>
      </c>
    </row>
    <row r="124" spans="1:11">
      <c r="A124" s="57">
        <v>5</v>
      </c>
      <c r="B124" s="58" t="s">
        <v>8</v>
      </c>
      <c r="C124" s="59" t="str">
        <f>Gia_Tbi!C10</f>
        <v>Cái</v>
      </c>
      <c r="D124" s="59">
        <f>Gia_Tbi!D10</f>
        <v>1</v>
      </c>
      <c r="E124" s="140">
        <f>Gia_Tbi!E10</f>
        <v>10</v>
      </c>
      <c r="F124" s="108">
        <f>Gia_Tbi!F10</f>
        <v>80000000</v>
      </c>
      <c r="G124" s="109">
        <f>Gia_Tbi!G10</f>
        <v>16000</v>
      </c>
      <c r="H124" s="197">
        <f>(H120*D120+H121*D121+H122*D122+H123*D123)*8</f>
        <v>387.512</v>
      </c>
      <c r="I124" s="144">
        <f>G124*H124*E124</f>
        <v>62001920</v>
      </c>
      <c r="K124" s="99">
        <v>120</v>
      </c>
    </row>
    <row r="125" spans="1:11" s="6" customFormat="1">
      <c r="A125" s="14" t="e">
        <f>#REF!</f>
        <v>#REF!</v>
      </c>
      <c r="B125" s="10" t="e">
        <f>#REF!</f>
        <v>#REF!</v>
      </c>
      <c r="C125" s="9"/>
      <c r="D125" s="9"/>
      <c r="E125" s="9"/>
      <c r="F125" s="115"/>
      <c r="G125" s="116"/>
      <c r="H125" s="199"/>
      <c r="I125" s="117"/>
      <c r="K125" s="99">
        <v>121</v>
      </c>
    </row>
    <row r="126" spans="1:11" s="103" customFormat="1">
      <c r="A126" s="44" t="e">
        <f>#REF!</f>
        <v>#REF!</v>
      </c>
      <c r="B126" s="45" t="e">
        <f>#REF!</f>
        <v>#REF!</v>
      </c>
      <c r="C126" s="20"/>
      <c r="D126" s="20"/>
      <c r="E126" s="20"/>
      <c r="F126" s="100"/>
      <c r="G126" s="101"/>
      <c r="H126" s="133"/>
      <c r="I126" s="102"/>
      <c r="K126" s="99">
        <v>122</v>
      </c>
    </row>
    <row r="127" spans="1:11" s="103" customFormat="1">
      <c r="A127" s="44" t="e">
        <f>#REF!</f>
        <v>#REF!</v>
      </c>
      <c r="B127" s="45" t="e">
        <f>#REF!</f>
        <v>#REF!</v>
      </c>
      <c r="C127" s="20"/>
      <c r="D127" s="20"/>
      <c r="E127" s="20"/>
      <c r="F127" s="100"/>
      <c r="G127" s="101"/>
      <c r="H127" s="133"/>
      <c r="I127" s="102"/>
      <c r="K127" s="99">
        <v>123</v>
      </c>
    </row>
    <row r="128" spans="1:11" s="6" customFormat="1">
      <c r="A128" s="14" t="e">
        <f>#REF!</f>
        <v>#REF!</v>
      </c>
      <c r="B128" s="10" t="e">
        <f>#REF!</f>
        <v>#REF!</v>
      </c>
      <c r="C128" s="9"/>
      <c r="D128" s="9"/>
      <c r="E128" s="9"/>
      <c r="F128" s="115"/>
      <c r="G128" s="116"/>
      <c r="H128" s="199"/>
      <c r="I128" s="117"/>
      <c r="K128" s="99">
        <v>124</v>
      </c>
    </row>
    <row r="129" spans="1:11" s="103" customFormat="1">
      <c r="A129" s="44" t="e">
        <f>#REF!</f>
        <v>#REF!</v>
      </c>
      <c r="B129" s="45" t="e">
        <f>#REF!</f>
        <v>#REF!</v>
      </c>
      <c r="C129" s="20"/>
      <c r="D129" s="20"/>
      <c r="E129" s="20"/>
      <c r="F129" s="100"/>
      <c r="G129" s="101"/>
      <c r="H129" s="133"/>
      <c r="I129" s="102" t="e">
        <f>#REF!</f>
        <v>#REF!</v>
      </c>
      <c r="K129" s="99">
        <v>125</v>
      </c>
    </row>
    <row r="130" spans="1:11">
      <c r="A130" s="15">
        <v>1</v>
      </c>
      <c r="B130" s="7" t="s">
        <v>73</v>
      </c>
      <c r="C130" s="8" t="str">
        <f>Gia_Tbi!C4</f>
        <v>cái</v>
      </c>
      <c r="D130" s="8">
        <f>Gia_Tbi!D4</f>
        <v>0.4</v>
      </c>
      <c r="E130" s="8">
        <f>Gia_Tbi!E4</f>
        <v>5</v>
      </c>
      <c r="F130" s="104">
        <f>Gia_Tbi!F4</f>
        <v>10000000</v>
      </c>
      <c r="G130" s="105">
        <f>Gia_Tbi!G4</f>
        <v>4000</v>
      </c>
      <c r="H130" s="203">
        <v>15</v>
      </c>
      <c r="I130" s="106">
        <f>G130*H130</f>
        <v>60000</v>
      </c>
      <c r="K130" s="99">
        <v>126</v>
      </c>
    </row>
    <row r="131" spans="1:11">
      <c r="A131" s="15">
        <v>2</v>
      </c>
      <c r="B131" s="7" t="s">
        <v>74</v>
      </c>
      <c r="C131" s="8" t="str">
        <f>Gia_Tbi!C5</f>
        <v>cái</v>
      </c>
      <c r="D131" s="8">
        <f>Gia_Tbi!D5</f>
        <v>0.6</v>
      </c>
      <c r="E131" s="8">
        <f>Gia_Tbi!E5</f>
        <v>5</v>
      </c>
      <c r="F131" s="104">
        <f>Gia_Tbi!F5</f>
        <v>2500000</v>
      </c>
      <c r="G131" s="105">
        <f>Gia_Tbi!G5</f>
        <v>1000</v>
      </c>
      <c r="H131" s="203">
        <v>0.8</v>
      </c>
      <c r="I131" s="106">
        <f>G131*H131</f>
        <v>800</v>
      </c>
      <c r="K131" s="99">
        <v>127</v>
      </c>
    </row>
    <row r="132" spans="1:11">
      <c r="A132" s="15">
        <v>3</v>
      </c>
      <c r="B132" s="7" t="s">
        <v>24</v>
      </c>
      <c r="C132" s="8" t="str">
        <f>Gia_Tbi!C6</f>
        <v>cái</v>
      </c>
      <c r="D132" s="8">
        <f>Gia_Tbi!D6</f>
        <v>2.2000000000000002</v>
      </c>
      <c r="E132" s="8">
        <f>Gia_Tbi!E6</f>
        <v>8</v>
      </c>
      <c r="F132" s="104">
        <f>Gia_Tbi!F6</f>
        <v>12000000</v>
      </c>
      <c r="G132" s="105">
        <f>Gia_Tbi!G6</f>
        <v>3000</v>
      </c>
      <c r="H132" s="203">
        <v>5</v>
      </c>
      <c r="I132" s="106">
        <f>G132*H132</f>
        <v>15000</v>
      </c>
      <c r="K132" s="99">
        <v>128</v>
      </c>
    </row>
    <row r="133" spans="1:11">
      <c r="A133" s="15">
        <v>4</v>
      </c>
      <c r="B133" s="7" t="s">
        <v>23</v>
      </c>
      <c r="C133" s="8" t="str">
        <f>Gia_Tbi!C7</f>
        <v>cái</v>
      </c>
      <c r="D133" s="8">
        <f>Gia_Tbi!D7</f>
        <v>1.5</v>
      </c>
      <c r="E133" s="8">
        <f>Gia_Tbi!E7</f>
        <v>8</v>
      </c>
      <c r="F133" s="104">
        <f>Gia_Tbi!F7</f>
        <v>44000000</v>
      </c>
      <c r="G133" s="105">
        <f>Gia_Tbi!G7</f>
        <v>11000</v>
      </c>
      <c r="H133" s="203">
        <v>0.5</v>
      </c>
      <c r="I133" s="106">
        <f>G133*H133</f>
        <v>5500</v>
      </c>
      <c r="K133" s="99">
        <v>129</v>
      </c>
    </row>
    <row r="134" spans="1:11">
      <c r="A134" s="57">
        <v>5</v>
      </c>
      <c r="B134" s="58" t="s">
        <v>8</v>
      </c>
      <c r="C134" s="59" t="str">
        <f>Gia_Tbi!C10</f>
        <v>Cái</v>
      </c>
      <c r="D134" s="59">
        <f>Gia_Tbi!D10</f>
        <v>1</v>
      </c>
      <c r="E134" s="140">
        <f>Gia_Tbi!E10</f>
        <v>10</v>
      </c>
      <c r="F134" s="108">
        <f>Gia_Tbi!F10</f>
        <v>80000000</v>
      </c>
      <c r="G134" s="109">
        <f>Gia_Tbi!G10</f>
        <v>16000</v>
      </c>
      <c r="H134" s="197">
        <f>(H130*D130+H131*D131+H132*D132+H133*D133)*8</f>
        <v>145.84</v>
      </c>
      <c r="I134" s="144">
        <f>G134*H134*E134</f>
        <v>23334400</v>
      </c>
      <c r="K134" s="99">
        <v>130</v>
      </c>
    </row>
    <row r="135" spans="1:11" s="103" customFormat="1">
      <c r="A135" s="44" t="e">
        <f>#REF!</f>
        <v>#REF!</v>
      </c>
      <c r="B135" s="45" t="e">
        <f>#REF!</f>
        <v>#REF!</v>
      </c>
      <c r="C135" s="20"/>
      <c r="D135" s="20"/>
      <c r="E135" s="20"/>
      <c r="F135" s="100"/>
      <c r="G135" s="101"/>
      <c r="H135" s="133"/>
      <c r="I135" s="102">
        <f>SUM(I136:I139)</f>
        <v>53690</v>
      </c>
      <c r="K135" s="99">
        <v>131</v>
      </c>
    </row>
    <row r="136" spans="1:11">
      <c r="A136" s="15">
        <v>1</v>
      </c>
      <c r="B136" s="7" t="s">
        <v>73</v>
      </c>
      <c r="C136" s="8" t="str">
        <f>Gia_Tbi!C4</f>
        <v>cái</v>
      </c>
      <c r="D136" s="8">
        <f>Gia_Tbi!D4</f>
        <v>0.4</v>
      </c>
      <c r="E136" s="8">
        <f>Gia_Tbi!E4</f>
        <v>5</v>
      </c>
      <c r="F136" s="104">
        <f>Gia_Tbi!F4</f>
        <v>10000000</v>
      </c>
      <c r="G136" s="105">
        <f>Gia_Tbi!G4</f>
        <v>4000</v>
      </c>
      <c r="H136" s="203">
        <v>10</v>
      </c>
      <c r="I136" s="106">
        <f>G136*H136</f>
        <v>40000</v>
      </c>
      <c r="K136" s="99">
        <v>132</v>
      </c>
    </row>
    <row r="137" spans="1:11">
      <c r="A137" s="15">
        <v>2</v>
      </c>
      <c r="B137" s="7" t="s">
        <v>74</v>
      </c>
      <c r="C137" s="8" t="str">
        <f>Gia_Tbi!C5</f>
        <v>cái</v>
      </c>
      <c r="D137" s="8">
        <f>Gia_Tbi!D5</f>
        <v>0.6</v>
      </c>
      <c r="E137" s="8">
        <f>Gia_Tbi!E5</f>
        <v>5</v>
      </c>
      <c r="F137" s="104">
        <f>Gia_Tbi!F5</f>
        <v>2500000</v>
      </c>
      <c r="G137" s="105">
        <f>Gia_Tbi!G5</f>
        <v>1000</v>
      </c>
      <c r="H137" s="203">
        <v>0.4</v>
      </c>
      <c r="I137" s="106">
        <f>G137*H137</f>
        <v>400</v>
      </c>
      <c r="K137" s="99">
        <v>133</v>
      </c>
    </row>
    <row r="138" spans="1:11">
      <c r="A138" s="15">
        <v>3</v>
      </c>
      <c r="B138" s="7" t="s">
        <v>24</v>
      </c>
      <c r="C138" s="8" t="str">
        <f>Gia_Tbi!C6</f>
        <v>cái</v>
      </c>
      <c r="D138" s="8">
        <f>Gia_Tbi!D6</f>
        <v>2.2000000000000002</v>
      </c>
      <c r="E138" s="8">
        <f>Gia_Tbi!E6</f>
        <v>8</v>
      </c>
      <c r="F138" s="104">
        <f>Gia_Tbi!F6</f>
        <v>12000000</v>
      </c>
      <c r="G138" s="105">
        <f>Gia_Tbi!G6</f>
        <v>3000</v>
      </c>
      <c r="H138" s="203">
        <v>3.33</v>
      </c>
      <c r="I138" s="106">
        <f>G138*H138</f>
        <v>9990</v>
      </c>
      <c r="K138" s="99">
        <v>134</v>
      </c>
    </row>
    <row r="139" spans="1:11">
      <c r="A139" s="15">
        <v>4</v>
      </c>
      <c r="B139" s="7" t="s">
        <v>23</v>
      </c>
      <c r="C139" s="8" t="str">
        <f>Gia_Tbi!C7</f>
        <v>cái</v>
      </c>
      <c r="D139" s="8">
        <f>Gia_Tbi!D7</f>
        <v>1.5</v>
      </c>
      <c r="E139" s="8">
        <f>Gia_Tbi!E7</f>
        <v>8</v>
      </c>
      <c r="F139" s="104">
        <f>Gia_Tbi!F7</f>
        <v>44000000</v>
      </c>
      <c r="G139" s="105">
        <f>Gia_Tbi!G7</f>
        <v>11000</v>
      </c>
      <c r="H139" s="203">
        <v>0.3</v>
      </c>
      <c r="I139" s="106">
        <f>G139*H139</f>
        <v>3300</v>
      </c>
      <c r="K139" s="99">
        <v>135</v>
      </c>
    </row>
    <row r="140" spans="1:11">
      <c r="A140" s="57">
        <v>5</v>
      </c>
      <c r="B140" s="58" t="s">
        <v>8</v>
      </c>
      <c r="C140" s="59" t="str">
        <f>Gia_Tbi!C10</f>
        <v>Cái</v>
      </c>
      <c r="D140" s="59">
        <f>Gia_Tbi!D10</f>
        <v>1</v>
      </c>
      <c r="E140" s="140">
        <f>Gia_Tbi!E10</f>
        <v>10</v>
      </c>
      <c r="F140" s="108">
        <f>Gia_Tbi!F10</f>
        <v>80000000</v>
      </c>
      <c r="G140" s="109">
        <f>Gia_Tbi!G10</f>
        <v>16000</v>
      </c>
      <c r="H140" s="197">
        <f>(H136*D136+H137*D137+H138*D138+H139*D139)*8</f>
        <v>96.128</v>
      </c>
      <c r="I140" s="144">
        <f>G140*H140*E140</f>
        <v>15380480</v>
      </c>
      <c r="K140" s="99">
        <v>136</v>
      </c>
    </row>
    <row r="141" spans="1:11" s="103" customFormat="1">
      <c r="A141" s="44" t="e">
        <f>#REF!</f>
        <v>#REF!</v>
      </c>
      <c r="B141" s="45" t="e">
        <f>#REF!</f>
        <v>#REF!</v>
      </c>
      <c r="C141" s="20"/>
      <c r="D141" s="20"/>
      <c r="E141" s="20"/>
      <c r="F141" s="100"/>
      <c r="G141" s="101"/>
      <c r="H141" s="133"/>
      <c r="I141" s="102"/>
      <c r="K141" s="99">
        <v>137</v>
      </c>
    </row>
    <row r="142" spans="1:11">
      <c r="A142" s="15" t="e">
        <f>#REF!</f>
        <v>#REF!</v>
      </c>
      <c r="B142" s="7" t="e">
        <f>#REF!</f>
        <v>#REF!</v>
      </c>
      <c r="C142" s="8"/>
      <c r="D142" s="8"/>
      <c r="E142" s="8"/>
      <c r="F142" s="104"/>
      <c r="G142" s="105"/>
      <c r="H142" s="196"/>
      <c r="I142" s="102">
        <f>SUM(I143:I146)</f>
        <v>235850</v>
      </c>
      <c r="K142" s="99">
        <v>138</v>
      </c>
    </row>
    <row r="143" spans="1:11">
      <c r="A143" s="15">
        <v>1</v>
      </c>
      <c r="B143" s="7" t="s">
        <v>73</v>
      </c>
      <c r="C143" s="8" t="str">
        <f>Gia_Tbi!C4</f>
        <v>cái</v>
      </c>
      <c r="D143" s="8">
        <f>Gia_Tbi!D4</f>
        <v>0.4</v>
      </c>
      <c r="E143" s="8">
        <f>Gia_Tbi!E4</f>
        <v>5</v>
      </c>
      <c r="F143" s="104">
        <f>Gia_Tbi!F4</f>
        <v>10000000</v>
      </c>
      <c r="G143" s="105">
        <f>Gia_Tbi!G4</f>
        <v>4000</v>
      </c>
      <c r="H143" s="203">
        <v>45</v>
      </c>
      <c r="I143" s="106">
        <f>G143*H143</f>
        <v>180000</v>
      </c>
      <c r="K143" s="99">
        <v>139</v>
      </c>
    </row>
    <row r="144" spans="1:11">
      <c r="A144" s="15">
        <v>2</v>
      </c>
      <c r="B144" s="7" t="s">
        <v>74</v>
      </c>
      <c r="C144" s="8" t="str">
        <f>Gia_Tbi!C5</f>
        <v>cái</v>
      </c>
      <c r="D144" s="8">
        <f>Gia_Tbi!D5</f>
        <v>0.6</v>
      </c>
      <c r="E144" s="8">
        <f>Gia_Tbi!E5</f>
        <v>5</v>
      </c>
      <c r="F144" s="104">
        <f>Gia_Tbi!F5</f>
        <v>2500000</v>
      </c>
      <c r="G144" s="105">
        <f>Gia_Tbi!G5</f>
        <v>1000</v>
      </c>
      <c r="H144" s="203">
        <v>1.5</v>
      </c>
      <c r="I144" s="106">
        <f>G144*H144</f>
        <v>1500</v>
      </c>
      <c r="K144" s="99">
        <v>140</v>
      </c>
    </row>
    <row r="145" spans="1:11">
      <c r="A145" s="15">
        <v>3</v>
      </c>
      <c r="B145" s="7" t="s">
        <v>24</v>
      </c>
      <c r="C145" s="8" t="str">
        <f>Gia_Tbi!C6</f>
        <v>cái</v>
      </c>
      <c r="D145" s="8">
        <f>Gia_Tbi!D6</f>
        <v>2.2000000000000002</v>
      </c>
      <c r="E145" s="8">
        <f>Gia_Tbi!E6</f>
        <v>8</v>
      </c>
      <c r="F145" s="104">
        <f>Gia_Tbi!F6</f>
        <v>12000000</v>
      </c>
      <c r="G145" s="105">
        <f>Gia_Tbi!G6</f>
        <v>3000</v>
      </c>
      <c r="H145" s="203">
        <v>15</v>
      </c>
      <c r="I145" s="106">
        <f>G145*H145</f>
        <v>45000</v>
      </c>
      <c r="K145" s="99">
        <v>141</v>
      </c>
    </row>
    <row r="146" spans="1:11">
      <c r="A146" s="15">
        <v>4</v>
      </c>
      <c r="B146" s="7" t="s">
        <v>23</v>
      </c>
      <c r="C146" s="8" t="str">
        <f>Gia_Tbi!C7</f>
        <v>cái</v>
      </c>
      <c r="D146" s="8">
        <f>Gia_Tbi!D7</f>
        <v>1.5</v>
      </c>
      <c r="E146" s="8">
        <f>Gia_Tbi!E7</f>
        <v>8</v>
      </c>
      <c r="F146" s="104">
        <f>Gia_Tbi!F7</f>
        <v>44000000</v>
      </c>
      <c r="G146" s="105">
        <f>Gia_Tbi!G7</f>
        <v>11000</v>
      </c>
      <c r="H146" s="203">
        <v>0.85</v>
      </c>
      <c r="I146" s="106">
        <f>G146*H146</f>
        <v>9350</v>
      </c>
      <c r="K146" s="99">
        <v>142</v>
      </c>
    </row>
    <row r="147" spans="1:11">
      <c r="A147" s="57">
        <v>5</v>
      </c>
      <c r="B147" s="58" t="s">
        <v>8</v>
      </c>
      <c r="C147" s="59" t="str">
        <f>Gia_Tbi!C10</f>
        <v>Cái</v>
      </c>
      <c r="D147" s="59">
        <f>Gia_Tbi!D10</f>
        <v>1</v>
      </c>
      <c r="E147" s="140">
        <f>Gia_Tbi!E10</f>
        <v>10</v>
      </c>
      <c r="F147" s="108">
        <f>Gia_Tbi!F10</f>
        <v>80000000</v>
      </c>
      <c r="G147" s="109">
        <f>Gia_Tbi!G10</f>
        <v>16000</v>
      </c>
      <c r="H147" s="197">
        <f>(H143*D143+H144*D144+H145*D145+H146*D146)*8</f>
        <v>425.4</v>
      </c>
      <c r="I147" s="144">
        <f>G147*H147*E147</f>
        <v>68064000</v>
      </c>
      <c r="K147" s="99">
        <v>143</v>
      </c>
    </row>
    <row r="148" spans="1:11">
      <c r="A148" s="15" t="e">
        <f>#REF!</f>
        <v>#REF!</v>
      </c>
      <c r="B148" s="7" t="e">
        <f>#REF!</f>
        <v>#REF!</v>
      </c>
      <c r="C148" s="8"/>
      <c r="D148" s="8"/>
      <c r="E148" s="8"/>
      <c r="F148" s="104"/>
      <c r="G148" s="105"/>
      <c r="H148" s="196"/>
      <c r="I148" s="102">
        <f>SUM(I149:I152)</f>
        <v>3521</v>
      </c>
      <c r="K148" s="99">
        <v>144</v>
      </c>
    </row>
    <row r="149" spans="1:11">
      <c r="A149" s="15">
        <v>1</v>
      </c>
      <c r="B149" s="7" t="s">
        <v>73</v>
      </c>
      <c r="C149" s="8" t="str">
        <f>Gia_Tbi!C4</f>
        <v>cái</v>
      </c>
      <c r="D149" s="8">
        <f>Gia_Tbi!D4</f>
        <v>0.4</v>
      </c>
      <c r="E149" s="8">
        <f>Gia_Tbi!E4</f>
        <v>5</v>
      </c>
      <c r="F149" s="104">
        <f>Gia_Tbi!F4</f>
        <v>10000000</v>
      </c>
      <c r="G149" s="105">
        <f>Gia_Tbi!G4</f>
        <v>4000</v>
      </c>
      <c r="H149" s="203">
        <v>0.68</v>
      </c>
      <c r="I149" s="106">
        <f>G149*H149</f>
        <v>2720</v>
      </c>
      <c r="K149" s="99">
        <v>145</v>
      </c>
    </row>
    <row r="150" spans="1:11">
      <c r="A150" s="15">
        <v>2</v>
      </c>
      <c r="B150" s="7" t="s">
        <v>74</v>
      </c>
      <c r="C150" s="8" t="str">
        <f>Gia_Tbi!C5</f>
        <v>cái</v>
      </c>
      <c r="D150" s="8">
        <f>Gia_Tbi!D5</f>
        <v>0.6</v>
      </c>
      <c r="E150" s="8">
        <f>Gia_Tbi!E5</f>
        <v>5</v>
      </c>
      <c r="F150" s="104">
        <f>Gia_Tbi!F5</f>
        <v>2500000</v>
      </c>
      <c r="G150" s="105">
        <f>Gia_Tbi!G5</f>
        <v>1000</v>
      </c>
      <c r="H150" s="203">
        <v>0.01</v>
      </c>
      <c r="I150" s="106">
        <f>G150*H150</f>
        <v>10</v>
      </c>
      <c r="K150" s="99">
        <v>146</v>
      </c>
    </row>
    <row r="151" spans="1:11">
      <c r="A151" s="15">
        <v>3</v>
      </c>
      <c r="B151" s="7" t="s">
        <v>24</v>
      </c>
      <c r="C151" s="8" t="str">
        <f>Gia_Tbi!C6</f>
        <v>cái</v>
      </c>
      <c r="D151" s="8">
        <f>Gia_Tbi!D6</f>
        <v>2.2000000000000002</v>
      </c>
      <c r="E151" s="8">
        <f>Gia_Tbi!E6</f>
        <v>8</v>
      </c>
      <c r="F151" s="104">
        <f>Gia_Tbi!F6</f>
        <v>12000000</v>
      </c>
      <c r="G151" s="105">
        <f>Gia_Tbi!G6</f>
        <v>3000</v>
      </c>
      <c r="H151" s="203">
        <v>0.22700000000000001</v>
      </c>
      <c r="I151" s="106">
        <f>G151*H151</f>
        <v>681</v>
      </c>
      <c r="K151" s="99">
        <v>147</v>
      </c>
    </row>
    <row r="152" spans="1:11">
      <c r="A152" s="15">
        <v>4</v>
      </c>
      <c r="B152" s="7" t="s">
        <v>23</v>
      </c>
      <c r="C152" s="8" t="str">
        <f>Gia_Tbi!C7</f>
        <v>cái</v>
      </c>
      <c r="D152" s="8">
        <f>Gia_Tbi!D7</f>
        <v>1.5</v>
      </c>
      <c r="E152" s="8">
        <f>Gia_Tbi!E7</f>
        <v>8</v>
      </c>
      <c r="F152" s="104">
        <f>Gia_Tbi!F7</f>
        <v>44000000</v>
      </c>
      <c r="G152" s="105">
        <f>Gia_Tbi!G7</f>
        <v>11000</v>
      </c>
      <c r="H152" s="203">
        <v>0.01</v>
      </c>
      <c r="I152" s="106">
        <f>G152*H152</f>
        <v>110</v>
      </c>
      <c r="K152" s="99">
        <v>148</v>
      </c>
    </row>
    <row r="153" spans="1:11">
      <c r="A153" s="57">
        <v>5</v>
      </c>
      <c r="B153" s="58" t="s">
        <v>8</v>
      </c>
      <c r="C153" s="59" t="str">
        <f>Gia_Tbi!C10</f>
        <v>Cái</v>
      </c>
      <c r="D153" s="59">
        <f>Gia_Tbi!D10</f>
        <v>1</v>
      </c>
      <c r="E153" s="140">
        <f>Gia_Tbi!E10</f>
        <v>10</v>
      </c>
      <c r="F153" s="108">
        <f>Gia_Tbi!F10</f>
        <v>80000000</v>
      </c>
      <c r="G153" s="109">
        <f>Gia_Tbi!G10</f>
        <v>16000</v>
      </c>
      <c r="H153" s="197">
        <f>(H149*D149+H150*D150+H151*D151+H152*D152)*8</f>
        <v>6.3392000000000008</v>
      </c>
      <c r="I153" s="144">
        <f>G153*H153*E153</f>
        <v>1014272.0000000001</v>
      </c>
      <c r="K153" s="99">
        <v>149</v>
      </c>
    </row>
    <row r="154" spans="1:11">
      <c r="A154" s="15" t="e">
        <f>#REF!</f>
        <v>#REF!</v>
      </c>
      <c r="B154" s="7" t="e">
        <f>#REF!</f>
        <v>#REF!</v>
      </c>
      <c r="C154" s="8"/>
      <c r="D154" s="8"/>
      <c r="E154" s="8"/>
      <c r="F154" s="104"/>
      <c r="G154" s="105"/>
      <c r="H154" s="196"/>
      <c r="I154" s="106"/>
      <c r="K154" s="99">
        <v>150</v>
      </c>
    </row>
    <row r="155" spans="1:11">
      <c r="A155" s="15" t="e">
        <f>#REF!</f>
        <v>#REF!</v>
      </c>
      <c r="B155" s="7" t="e">
        <f>#REF!</f>
        <v>#REF!</v>
      </c>
      <c r="C155" s="8"/>
      <c r="D155" s="8"/>
      <c r="E155" s="8"/>
      <c r="F155" s="104"/>
      <c r="G155" s="105"/>
      <c r="H155" s="196"/>
      <c r="I155" s="106"/>
      <c r="K155" s="99">
        <v>151</v>
      </c>
    </row>
    <row r="156" spans="1:11" s="11" customFormat="1" ht="36" customHeight="1">
      <c r="A156" s="29" t="e">
        <f>#REF!</f>
        <v>#REF!</v>
      </c>
      <c r="B156" s="2034" t="e">
        <f>#REF!</f>
        <v>#REF!</v>
      </c>
      <c r="C156" s="2035"/>
      <c r="D156" s="2035"/>
      <c r="E156" s="2035"/>
      <c r="F156" s="2035"/>
      <c r="G156" s="2035"/>
      <c r="H156" s="2035"/>
      <c r="I156" s="2036"/>
      <c r="K156" s="99">
        <v>152</v>
      </c>
    </row>
    <row r="157" spans="1:11" s="103" customFormat="1">
      <c r="A157" s="44" t="e">
        <f>#REF!</f>
        <v>#REF!</v>
      </c>
      <c r="B157" s="45" t="e">
        <f>#REF!</f>
        <v>#REF!</v>
      </c>
      <c r="C157" s="20"/>
      <c r="D157" s="20"/>
      <c r="E157" s="20"/>
      <c r="F157" s="100"/>
      <c r="G157" s="101"/>
      <c r="H157" s="133"/>
      <c r="I157" s="102">
        <f>SUM(I158:I161)</f>
        <v>32000</v>
      </c>
      <c r="K157" s="99">
        <v>153</v>
      </c>
    </row>
    <row r="158" spans="1:11">
      <c r="A158" s="15">
        <v>1</v>
      </c>
      <c r="B158" s="7" t="s">
        <v>73</v>
      </c>
      <c r="C158" s="8" t="str">
        <f>Gia_Tbi!C4</f>
        <v>cái</v>
      </c>
      <c r="D158" s="8">
        <f>Gia_Tbi!D4</f>
        <v>0.4</v>
      </c>
      <c r="E158" s="8">
        <f>Gia_Tbi!E4</f>
        <v>5</v>
      </c>
      <c r="F158" s="104">
        <f>Gia_Tbi!F4</f>
        <v>10000000</v>
      </c>
      <c r="G158" s="105">
        <f>Gia_Tbi!G4</f>
        <v>4000</v>
      </c>
      <c r="H158" s="203">
        <v>4</v>
      </c>
      <c r="I158" s="106">
        <f>G158*H158</f>
        <v>16000</v>
      </c>
      <c r="K158" s="99">
        <v>154</v>
      </c>
    </row>
    <row r="159" spans="1:11">
      <c r="A159" s="15">
        <v>2</v>
      </c>
      <c r="B159" s="7" t="s">
        <v>74</v>
      </c>
      <c r="C159" s="8" t="str">
        <f>Gia_Tbi!C5</f>
        <v>cái</v>
      </c>
      <c r="D159" s="8">
        <f>Gia_Tbi!D5</f>
        <v>0.6</v>
      </c>
      <c r="E159" s="8">
        <f>Gia_Tbi!E5</f>
        <v>5</v>
      </c>
      <c r="F159" s="104">
        <f>Gia_Tbi!F5</f>
        <v>2500000</v>
      </c>
      <c r="G159" s="105">
        <f>Gia_Tbi!G5</f>
        <v>1000</v>
      </c>
      <c r="H159" s="203">
        <v>0.5</v>
      </c>
      <c r="I159" s="106">
        <f>G159*H159</f>
        <v>500</v>
      </c>
      <c r="K159" s="99">
        <v>155</v>
      </c>
    </row>
    <row r="160" spans="1:11">
      <c r="A160" s="15">
        <v>3</v>
      </c>
      <c r="B160" s="7" t="s">
        <v>24</v>
      </c>
      <c r="C160" s="8" t="str">
        <f>Gia_Tbi!C6</f>
        <v>cái</v>
      </c>
      <c r="D160" s="8">
        <f>Gia_Tbi!D6</f>
        <v>2.2000000000000002</v>
      </c>
      <c r="E160" s="8">
        <f>Gia_Tbi!E6</f>
        <v>8</v>
      </c>
      <c r="F160" s="104">
        <f>Gia_Tbi!F6</f>
        <v>12000000</v>
      </c>
      <c r="G160" s="105">
        <f>Gia_Tbi!G6</f>
        <v>3000</v>
      </c>
      <c r="H160" s="203">
        <v>1.5</v>
      </c>
      <c r="I160" s="106">
        <f>G160*H160</f>
        <v>4500</v>
      </c>
      <c r="K160" s="99">
        <v>156</v>
      </c>
    </row>
    <row r="161" spans="1:11">
      <c r="A161" s="15">
        <v>4</v>
      </c>
      <c r="B161" s="7" t="s">
        <v>23</v>
      </c>
      <c r="C161" s="8" t="str">
        <f>Gia_Tbi!C7</f>
        <v>cái</v>
      </c>
      <c r="D161" s="8">
        <f>Gia_Tbi!D7</f>
        <v>1.5</v>
      </c>
      <c r="E161" s="8">
        <f>Gia_Tbi!E7</f>
        <v>8</v>
      </c>
      <c r="F161" s="104">
        <f>Gia_Tbi!F7</f>
        <v>44000000</v>
      </c>
      <c r="G161" s="105">
        <f>Gia_Tbi!G7</f>
        <v>11000</v>
      </c>
      <c r="H161" s="203">
        <v>1</v>
      </c>
      <c r="I161" s="106">
        <f>G161*H161</f>
        <v>11000</v>
      </c>
      <c r="K161" s="99">
        <v>157</v>
      </c>
    </row>
    <row r="162" spans="1:11">
      <c r="A162" s="57">
        <v>5</v>
      </c>
      <c r="B162" s="58" t="s">
        <v>8</v>
      </c>
      <c r="C162" s="59" t="str">
        <f>Gia_Tbi!C10</f>
        <v>Cái</v>
      </c>
      <c r="D162" s="59">
        <f>Gia_Tbi!D10</f>
        <v>1</v>
      </c>
      <c r="E162" s="140">
        <f>Gia_Tbi!E10</f>
        <v>10</v>
      </c>
      <c r="F162" s="108">
        <f>Gia_Tbi!F10</f>
        <v>80000000</v>
      </c>
      <c r="G162" s="109">
        <f>Gia_Tbi!G10</f>
        <v>16000</v>
      </c>
      <c r="H162" s="197">
        <f>(H158*D158+H159*D159+H160*D160+H161*D161)*8</f>
        <v>53.6</v>
      </c>
      <c r="I162" s="144">
        <f>G162*H162*E162</f>
        <v>8576000</v>
      </c>
      <c r="K162" s="99">
        <v>158</v>
      </c>
    </row>
    <row r="163" spans="1:11" s="103" customFormat="1">
      <c r="A163" s="2028" t="e">
        <f>#REF!</f>
        <v>#REF!</v>
      </c>
      <c r="B163" s="2031" t="e">
        <f>#REF!</f>
        <v>#REF!</v>
      </c>
      <c r="C163" s="20"/>
      <c r="D163" s="131" t="s">
        <v>103</v>
      </c>
      <c r="E163" s="20"/>
      <c r="F163" s="100"/>
      <c r="G163" s="101"/>
      <c r="H163" s="133">
        <v>0.8</v>
      </c>
      <c r="I163" s="102">
        <f>H163*I164</f>
        <v>264848</v>
      </c>
      <c r="K163" s="99">
        <v>159</v>
      </c>
    </row>
    <row r="164" spans="1:11" s="103" customFormat="1">
      <c r="A164" s="2029"/>
      <c r="B164" s="2032"/>
      <c r="C164" s="20"/>
      <c r="D164" s="131" t="s">
        <v>104</v>
      </c>
      <c r="E164" s="20"/>
      <c r="F164" s="100"/>
      <c r="G164" s="101"/>
      <c r="H164" s="133">
        <v>1</v>
      </c>
      <c r="I164" s="102">
        <f>SUM(I166:I169)</f>
        <v>331060</v>
      </c>
      <c r="K164" s="99">
        <v>160</v>
      </c>
    </row>
    <row r="165" spans="1:11" s="103" customFormat="1">
      <c r="A165" s="2030"/>
      <c r="B165" s="2033"/>
      <c r="C165" s="20"/>
      <c r="D165" s="131" t="s">
        <v>105</v>
      </c>
      <c r="E165" s="20"/>
      <c r="F165" s="100"/>
      <c r="G165" s="101"/>
      <c r="H165" s="133">
        <v>1.2</v>
      </c>
      <c r="I165" s="102">
        <f>H165*I164</f>
        <v>397272</v>
      </c>
      <c r="K165" s="99">
        <v>161</v>
      </c>
    </row>
    <row r="166" spans="1:11">
      <c r="A166" s="15">
        <v>1</v>
      </c>
      <c r="B166" s="7" t="s">
        <v>73</v>
      </c>
      <c r="C166" s="8" t="str">
        <f>Gia_Tbi!C4</f>
        <v>cái</v>
      </c>
      <c r="D166" s="8">
        <f>Gia_Tbi!D4</f>
        <v>0.4</v>
      </c>
      <c r="E166" s="8">
        <f>Gia_Tbi!E4</f>
        <v>5</v>
      </c>
      <c r="F166" s="104">
        <f>Gia_Tbi!F4</f>
        <v>10000000</v>
      </c>
      <c r="G166" s="105">
        <f>Gia_Tbi!G4</f>
        <v>4000</v>
      </c>
      <c r="H166" s="203">
        <v>72</v>
      </c>
      <c r="I166" s="106">
        <f>G166*H166</f>
        <v>288000</v>
      </c>
      <c r="K166" s="99">
        <v>162</v>
      </c>
    </row>
    <row r="167" spans="1:11">
      <c r="A167" s="15">
        <v>2</v>
      </c>
      <c r="B167" s="7" t="s">
        <v>74</v>
      </c>
      <c r="C167" s="8" t="str">
        <f>Gia_Tbi!C5</f>
        <v>cái</v>
      </c>
      <c r="D167" s="8">
        <f>Gia_Tbi!D5</f>
        <v>0.6</v>
      </c>
      <c r="E167" s="8">
        <f>Gia_Tbi!E5</f>
        <v>5</v>
      </c>
      <c r="F167" s="104">
        <f>Gia_Tbi!F5</f>
        <v>2500000</v>
      </c>
      <c r="G167" s="105">
        <f>Gia_Tbi!G5</f>
        <v>1000</v>
      </c>
      <c r="H167" s="203">
        <v>2.4</v>
      </c>
      <c r="I167" s="106">
        <f>G167*H167</f>
        <v>2400</v>
      </c>
      <c r="K167" s="99">
        <v>163</v>
      </c>
    </row>
    <row r="168" spans="1:11">
      <c r="A168" s="15">
        <v>3</v>
      </c>
      <c r="B168" s="7" t="s">
        <v>24</v>
      </c>
      <c r="C168" s="8" t="str">
        <f>Gia_Tbi!C6</f>
        <v>cái</v>
      </c>
      <c r="D168" s="8">
        <f>Gia_Tbi!D6</f>
        <v>2.2000000000000002</v>
      </c>
      <c r="E168" s="8">
        <f>Gia_Tbi!E6</f>
        <v>8</v>
      </c>
      <c r="F168" s="104">
        <f>Gia_Tbi!F6</f>
        <v>12000000</v>
      </c>
      <c r="G168" s="105">
        <f>Gia_Tbi!G6</f>
        <v>3000</v>
      </c>
      <c r="H168" s="203">
        <v>6</v>
      </c>
      <c r="I168" s="106">
        <f>G168*H168</f>
        <v>18000</v>
      </c>
      <c r="K168" s="99">
        <v>164</v>
      </c>
    </row>
    <row r="169" spans="1:11">
      <c r="A169" s="15">
        <v>4</v>
      </c>
      <c r="B169" s="7" t="s">
        <v>23</v>
      </c>
      <c r="C169" s="8" t="str">
        <f>Gia_Tbi!C7</f>
        <v>cái</v>
      </c>
      <c r="D169" s="8">
        <f>Gia_Tbi!D7</f>
        <v>1.5</v>
      </c>
      <c r="E169" s="8">
        <f>Gia_Tbi!E7</f>
        <v>8</v>
      </c>
      <c r="F169" s="104">
        <f>Gia_Tbi!F7</f>
        <v>44000000</v>
      </c>
      <c r="G169" s="105">
        <f>Gia_Tbi!G7</f>
        <v>11000</v>
      </c>
      <c r="H169" s="203">
        <v>2.06</v>
      </c>
      <c r="I169" s="106">
        <f>G169*H169</f>
        <v>22660</v>
      </c>
      <c r="K169" s="99">
        <v>165</v>
      </c>
    </row>
    <row r="170" spans="1:11">
      <c r="A170" s="57">
        <v>5</v>
      </c>
      <c r="B170" s="58" t="s">
        <v>8</v>
      </c>
      <c r="C170" s="59" t="str">
        <f>Gia_Tbi!C10</f>
        <v>Cái</v>
      </c>
      <c r="D170" s="59">
        <f>Gia_Tbi!D10</f>
        <v>1</v>
      </c>
      <c r="E170" s="140">
        <f>Gia_Tbi!E10</f>
        <v>10</v>
      </c>
      <c r="F170" s="108">
        <f>Gia_Tbi!F10</f>
        <v>80000000</v>
      </c>
      <c r="G170" s="109">
        <f>Gia_Tbi!G10</f>
        <v>16000</v>
      </c>
      <c r="H170" s="197">
        <f>(H166*D166+H167*D167+H168*D168+H169*D169)*8</f>
        <v>372.24</v>
      </c>
      <c r="I170" s="144">
        <f>G170*H170*E170</f>
        <v>59558400</v>
      </c>
      <c r="K170" s="99">
        <v>166</v>
      </c>
    </row>
    <row r="171" spans="1:11" s="103" customFormat="1">
      <c r="A171" s="44" t="e">
        <f>#REF!</f>
        <v>#REF!</v>
      </c>
      <c r="B171" s="45" t="e">
        <f>#REF!</f>
        <v>#REF!</v>
      </c>
      <c r="C171" s="20"/>
      <c r="D171" s="20"/>
      <c r="E171" s="20"/>
      <c r="F171" s="100"/>
      <c r="G171" s="101"/>
      <c r="H171" s="133"/>
      <c r="I171" s="102"/>
      <c r="K171" s="99">
        <v>167</v>
      </c>
    </row>
    <row r="172" spans="1:11" s="103" customFormat="1">
      <c r="A172" s="2028" t="e">
        <f>#REF!</f>
        <v>#REF!</v>
      </c>
      <c r="B172" s="2031" t="e">
        <f>#REF!</f>
        <v>#REF!</v>
      </c>
      <c r="C172" s="20"/>
      <c r="D172" s="131" t="s">
        <v>103</v>
      </c>
      <c r="E172" s="20"/>
      <c r="F172" s="100"/>
      <c r="G172" s="101"/>
      <c r="H172" s="133">
        <v>0.8</v>
      </c>
      <c r="I172" s="102">
        <f>H172*I173</f>
        <v>53120</v>
      </c>
      <c r="K172" s="99">
        <v>168</v>
      </c>
    </row>
    <row r="173" spans="1:11" s="103" customFormat="1">
      <c r="A173" s="2029" t="e">
        <f>#REF!</f>
        <v>#REF!</v>
      </c>
      <c r="B173" s="2032" t="e">
        <f>#REF!</f>
        <v>#REF!</v>
      </c>
      <c r="C173" s="20"/>
      <c r="D173" s="131" t="s">
        <v>104</v>
      </c>
      <c r="E173" s="20"/>
      <c r="F173" s="100"/>
      <c r="G173" s="101"/>
      <c r="H173" s="133">
        <v>1</v>
      </c>
      <c r="I173" s="102">
        <f>SUM(I175:I178)</f>
        <v>66400</v>
      </c>
      <c r="K173" s="99">
        <v>169</v>
      </c>
    </row>
    <row r="174" spans="1:11" s="103" customFormat="1">
      <c r="A174" s="2030" t="e">
        <f>#REF!</f>
        <v>#REF!</v>
      </c>
      <c r="B174" s="2033" t="e">
        <f>#REF!</f>
        <v>#REF!</v>
      </c>
      <c r="C174" s="20"/>
      <c r="D174" s="131" t="s">
        <v>105</v>
      </c>
      <c r="E174" s="20"/>
      <c r="F174" s="100"/>
      <c r="G174" s="101"/>
      <c r="H174" s="133">
        <v>1.2</v>
      </c>
      <c r="I174" s="102">
        <f>H174*I173</f>
        <v>79680</v>
      </c>
      <c r="K174" s="99">
        <v>170</v>
      </c>
    </row>
    <row r="175" spans="1:11">
      <c r="A175" s="15">
        <v>1</v>
      </c>
      <c r="B175" s="7" t="s">
        <v>73</v>
      </c>
      <c r="C175" s="8" t="str">
        <f>Gia_Tbi!C4</f>
        <v>cái</v>
      </c>
      <c r="D175" s="8">
        <f>Gia_Tbi!D4</f>
        <v>0.4</v>
      </c>
      <c r="E175" s="8">
        <f>Gia_Tbi!E4</f>
        <v>5</v>
      </c>
      <c r="F175" s="104">
        <f>Gia_Tbi!F4</f>
        <v>10000000</v>
      </c>
      <c r="G175" s="105">
        <f>Gia_Tbi!G4</f>
        <v>4000</v>
      </c>
      <c r="H175" s="203">
        <v>12</v>
      </c>
      <c r="I175" s="106">
        <f>G175*H175</f>
        <v>48000</v>
      </c>
      <c r="K175" s="99">
        <v>171</v>
      </c>
    </row>
    <row r="176" spans="1:11">
      <c r="A176" s="15">
        <v>2</v>
      </c>
      <c r="B176" s="7" t="s">
        <v>74</v>
      </c>
      <c r="C176" s="8" t="str">
        <f>Gia_Tbi!C5</f>
        <v>cái</v>
      </c>
      <c r="D176" s="8">
        <f>Gia_Tbi!D5</f>
        <v>0.6</v>
      </c>
      <c r="E176" s="8">
        <f>Gia_Tbi!E5</f>
        <v>5</v>
      </c>
      <c r="F176" s="104">
        <f>Gia_Tbi!F5</f>
        <v>2500000</v>
      </c>
      <c r="G176" s="105">
        <f>Gia_Tbi!G5</f>
        <v>1000</v>
      </c>
      <c r="H176" s="203">
        <v>2</v>
      </c>
      <c r="I176" s="106">
        <f>G176*H176</f>
        <v>2000</v>
      </c>
      <c r="K176" s="99">
        <v>172</v>
      </c>
    </row>
    <row r="177" spans="1:11">
      <c r="A177" s="15">
        <v>3</v>
      </c>
      <c r="B177" s="7" t="s">
        <v>24</v>
      </c>
      <c r="C177" s="8" t="str">
        <f>Gia_Tbi!C6</f>
        <v>cái</v>
      </c>
      <c r="D177" s="8">
        <f>Gia_Tbi!D6</f>
        <v>2.2000000000000002</v>
      </c>
      <c r="E177" s="8">
        <f>Gia_Tbi!E6</f>
        <v>8</v>
      </c>
      <c r="F177" s="104">
        <f>Gia_Tbi!F6</f>
        <v>12000000</v>
      </c>
      <c r="G177" s="105">
        <f>Gia_Tbi!G6</f>
        <v>3000</v>
      </c>
      <c r="H177" s="203">
        <v>4</v>
      </c>
      <c r="I177" s="106">
        <f>G177*H177</f>
        <v>12000</v>
      </c>
      <c r="K177" s="99">
        <v>173</v>
      </c>
    </row>
    <row r="178" spans="1:11">
      <c r="A178" s="15">
        <v>4</v>
      </c>
      <c r="B178" s="7" t="s">
        <v>23</v>
      </c>
      <c r="C178" s="8" t="str">
        <f>Gia_Tbi!C7</f>
        <v>cái</v>
      </c>
      <c r="D178" s="8">
        <f>Gia_Tbi!D7</f>
        <v>1.5</v>
      </c>
      <c r="E178" s="8">
        <f>Gia_Tbi!E7</f>
        <v>8</v>
      </c>
      <c r="F178" s="104">
        <f>Gia_Tbi!F7</f>
        <v>44000000</v>
      </c>
      <c r="G178" s="105">
        <f>Gia_Tbi!G7</f>
        <v>11000</v>
      </c>
      <c r="H178" s="203">
        <v>0.4</v>
      </c>
      <c r="I178" s="106">
        <f>G178*H178</f>
        <v>4400</v>
      </c>
      <c r="K178" s="99">
        <v>174</v>
      </c>
    </row>
    <row r="179" spans="1:11">
      <c r="A179" s="57">
        <v>5</v>
      </c>
      <c r="B179" s="58" t="s">
        <v>8</v>
      </c>
      <c r="C179" s="59" t="str">
        <f>Gia_Tbi!C10</f>
        <v>Cái</v>
      </c>
      <c r="D179" s="59">
        <f>Gia_Tbi!D10</f>
        <v>1</v>
      </c>
      <c r="E179" s="140">
        <f>Gia_Tbi!E10</f>
        <v>10</v>
      </c>
      <c r="F179" s="108">
        <f>Gia_Tbi!F10</f>
        <v>80000000</v>
      </c>
      <c r="G179" s="109">
        <f>Gia_Tbi!G10</f>
        <v>16000</v>
      </c>
      <c r="H179" s="197">
        <f>(H175*D175+H176*D176+H177*D177+H178*D178)*8</f>
        <v>123.2</v>
      </c>
      <c r="I179" s="144">
        <f>G179*H179*E179</f>
        <v>19712000</v>
      </c>
      <c r="K179" s="99">
        <v>175</v>
      </c>
    </row>
    <row r="180" spans="1:11" s="103" customFormat="1">
      <c r="A180" s="2028" t="e">
        <f>#REF!</f>
        <v>#REF!</v>
      </c>
      <c r="B180" s="2031" t="e">
        <f>#REF!</f>
        <v>#REF!</v>
      </c>
      <c r="C180" s="20"/>
      <c r="D180" s="131" t="s">
        <v>103</v>
      </c>
      <c r="E180" s="20"/>
      <c r="F180" s="100"/>
      <c r="G180" s="101"/>
      <c r="H180" s="133">
        <v>0.8</v>
      </c>
      <c r="I180" s="102">
        <f>H180*I181</f>
        <v>264240</v>
      </c>
      <c r="K180" s="99">
        <v>176</v>
      </c>
    </row>
    <row r="181" spans="1:11" s="103" customFormat="1">
      <c r="A181" s="2029" t="e">
        <f>#REF!</f>
        <v>#REF!</v>
      </c>
      <c r="B181" s="2032" t="e">
        <f>#REF!</f>
        <v>#REF!</v>
      </c>
      <c r="C181" s="20"/>
      <c r="D181" s="131" t="s">
        <v>104</v>
      </c>
      <c r="E181" s="20"/>
      <c r="F181" s="100"/>
      <c r="G181" s="101"/>
      <c r="H181" s="133">
        <v>1</v>
      </c>
      <c r="I181" s="102">
        <f>SUM(I183:I186)</f>
        <v>330300</v>
      </c>
      <c r="K181" s="99">
        <v>177</v>
      </c>
    </row>
    <row r="182" spans="1:11" s="103" customFormat="1">
      <c r="A182" s="2030" t="e">
        <f>#REF!</f>
        <v>#REF!</v>
      </c>
      <c r="B182" s="2033" t="e">
        <f>#REF!</f>
        <v>#REF!</v>
      </c>
      <c r="C182" s="20"/>
      <c r="D182" s="131" t="s">
        <v>105</v>
      </c>
      <c r="E182" s="20"/>
      <c r="F182" s="100"/>
      <c r="G182" s="101"/>
      <c r="H182" s="133">
        <v>1.2</v>
      </c>
      <c r="I182" s="102">
        <f>H182*I181</f>
        <v>396360</v>
      </c>
      <c r="K182" s="99">
        <v>178</v>
      </c>
    </row>
    <row r="183" spans="1:11">
      <c r="A183" s="15">
        <v>1</v>
      </c>
      <c r="B183" s="7" t="s">
        <v>73</v>
      </c>
      <c r="C183" s="8" t="str">
        <f>Gia_Tbi!C4</f>
        <v>cái</v>
      </c>
      <c r="D183" s="8">
        <f>Gia_Tbi!D4</f>
        <v>0.4</v>
      </c>
      <c r="E183" s="8">
        <f>Gia_Tbi!E4</f>
        <v>5</v>
      </c>
      <c r="F183" s="104">
        <f>Gia_Tbi!F4</f>
        <v>10000000</v>
      </c>
      <c r="G183" s="105">
        <f>Gia_Tbi!G4</f>
        <v>4000</v>
      </c>
      <c r="H183" s="203">
        <v>72</v>
      </c>
      <c r="I183" s="106">
        <f>G183*H183</f>
        <v>288000</v>
      </c>
      <c r="K183" s="99">
        <v>179</v>
      </c>
    </row>
    <row r="184" spans="1:11">
      <c r="A184" s="15">
        <v>2</v>
      </c>
      <c r="B184" s="7" t="s">
        <v>74</v>
      </c>
      <c r="C184" s="8" t="str">
        <f>Gia_Tbi!C5</f>
        <v>cái</v>
      </c>
      <c r="D184" s="8">
        <f>Gia_Tbi!D5</f>
        <v>0.6</v>
      </c>
      <c r="E184" s="8">
        <f>Gia_Tbi!E5</f>
        <v>5</v>
      </c>
      <c r="F184" s="104">
        <f>Gia_Tbi!F5</f>
        <v>2500000</v>
      </c>
      <c r="G184" s="105">
        <f>Gia_Tbi!G5</f>
        <v>1000</v>
      </c>
      <c r="H184" s="203">
        <v>0.8</v>
      </c>
      <c r="I184" s="106">
        <f>G184*H184</f>
        <v>800</v>
      </c>
      <c r="K184" s="99">
        <v>180</v>
      </c>
    </row>
    <row r="185" spans="1:11">
      <c r="A185" s="15">
        <v>3</v>
      </c>
      <c r="B185" s="7" t="s">
        <v>24</v>
      </c>
      <c r="C185" s="8" t="str">
        <f>Gia_Tbi!C6</f>
        <v>cái</v>
      </c>
      <c r="D185" s="8">
        <f>Gia_Tbi!D6</f>
        <v>2.2000000000000002</v>
      </c>
      <c r="E185" s="8">
        <f>Gia_Tbi!E6</f>
        <v>8</v>
      </c>
      <c r="F185" s="104">
        <f>Gia_Tbi!F6</f>
        <v>12000000</v>
      </c>
      <c r="G185" s="105">
        <f>Gia_Tbi!G6</f>
        <v>3000</v>
      </c>
      <c r="H185" s="203">
        <v>12</v>
      </c>
      <c r="I185" s="106">
        <f>G185*H185</f>
        <v>36000</v>
      </c>
      <c r="K185" s="99">
        <v>181</v>
      </c>
    </row>
    <row r="186" spans="1:11">
      <c r="A186" s="15">
        <v>4</v>
      </c>
      <c r="B186" s="7" t="s">
        <v>23</v>
      </c>
      <c r="C186" s="8" t="str">
        <f>Gia_Tbi!C7</f>
        <v>cái</v>
      </c>
      <c r="D186" s="8">
        <f>Gia_Tbi!D7</f>
        <v>1.5</v>
      </c>
      <c r="E186" s="8">
        <f>Gia_Tbi!E7</f>
        <v>8</v>
      </c>
      <c r="F186" s="104">
        <f>Gia_Tbi!F7</f>
        <v>44000000</v>
      </c>
      <c r="G186" s="105">
        <f>Gia_Tbi!G7</f>
        <v>11000</v>
      </c>
      <c r="H186" s="203">
        <v>0.5</v>
      </c>
      <c r="I186" s="106">
        <f>G186*H186</f>
        <v>5500</v>
      </c>
      <c r="K186" s="99">
        <v>182</v>
      </c>
    </row>
    <row r="187" spans="1:11">
      <c r="A187" s="57">
        <v>5</v>
      </c>
      <c r="B187" s="58" t="s">
        <v>8</v>
      </c>
      <c r="C187" s="59" t="str">
        <f>Gia_Tbi!C10</f>
        <v>Cái</v>
      </c>
      <c r="D187" s="59">
        <f>Gia_Tbi!D10</f>
        <v>1</v>
      </c>
      <c r="E187" s="140">
        <f>Gia_Tbi!E10</f>
        <v>10</v>
      </c>
      <c r="F187" s="108">
        <f>Gia_Tbi!F10</f>
        <v>80000000</v>
      </c>
      <c r="G187" s="109">
        <f>Gia_Tbi!G10</f>
        <v>16000</v>
      </c>
      <c r="H187" s="197">
        <f>(H183*D183+H184*D184+H185*D185+H186*D186)*8</f>
        <v>451.44000000000005</v>
      </c>
      <c r="I187" s="144">
        <f>G187*H187*E187</f>
        <v>72230400.000000015</v>
      </c>
      <c r="K187" s="99">
        <v>183</v>
      </c>
    </row>
    <row r="188" spans="1:11" s="6" customFormat="1">
      <c r="A188" s="14" t="e">
        <f>#REF!</f>
        <v>#REF!</v>
      </c>
      <c r="B188" s="10" t="e">
        <f>#REF!</f>
        <v>#REF!</v>
      </c>
      <c r="C188" s="9"/>
      <c r="D188" s="9"/>
      <c r="E188" s="9"/>
      <c r="F188" s="115"/>
      <c r="G188" s="116"/>
      <c r="H188" s="199"/>
      <c r="I188" s="117"/>
      <c r="K188" s="99">
        <v>184</v>
      </c>
    </row>
    <row r="189" spans="1:11" s="103" customFormat="1">
      <c r="A189" s="44" t="e">
        <f>#REF!</f>
        <v>#REF!</v>
      </c>
      <c r="B189" s="45" t="e">
        <f>#REF!</f>
        <v>#REF!</v>
      </c>
      <c r="C189" s="20"/>
      <c r="D189" s="20"/>
      <c r="E189" s="20"/>
      <c r="F189" s="100"/>
      <c r="G189" s="101"/>
      <c r="H189" s="133"/>
      <c r="I189" s="102">
        <f>SUM(I190:I193)</f>
        <v>497000</v>
      </c>
      <c r="K189" s="99">
        <v>185</v>
      </c>
    </row>
    <row r="190" spans="1:11">
      <c r="A190" s="15">
        <v>1</v>
      </c>
      <c r="B190" s="7" t="s">
        <v>73</v>
      </c>
      <c r="C190" s="8" t="str">
        <f>Gia_Tbi!C4</f>
        <v>cái</v>
      </c>
      <c r="D190" s="8">
        <f>Gia_Tbi!D4</f>
        <v>0.4</v>
      </c>
      <c r="E190" s="8">
        <f>Gia_Tbi!E4</f>
        <v>5</v>
      </c>
      <c r="F190" s="104">
        <f>Gia_Tbi!F4</f>
        <v>10000000</v>
      </c>
      <c r="G190" s="105">
        <f>Gia_Tbi!G4</f>
        <v>4000</v>
      </c>
      <c r="H190" s="203">
        <v>100</v>
      </c>
      <c r="I190" s="106">
        <f>G190*H190</f>
        <v>400000</v>
      </c>
      <c r="K190" s="99">
        <v>186</v>
      </c>
    </row>
    <row r="191" spans="1:11">
      <c r="A191" s="15">
        <v>2</v>
      </c>
      <c r="B191" s="7" t="s">
        <v>74</v>
      </c>
      <c r="C191" s="8" t="str">
        <f>Gia_Tbi!C5</f>
        <v>cái</v>
      </c>
      <c r="D191" s="8">
        <f>Gia_Tbi!D5</f>
        <v>0.6</v>
      </c>
      <c r="E191" s="8">
        <f>Gia_Tbi!E5</f>
        <v>5</v>
      </c>
      <c r="F191" s="104">
        <f>Gia_Tbi!F5</f>
        <v>2500000</v>
      </c>
      <c r="G191" s="105">
        <f>Gia_Tbi!G5</f>
        <v>1000</v>
      </c>
      <c r="H191" s="203">
        <v>4.5</v>
      </c>
      <c r="I191" s="106">
        <f>G191*H191</f>
        <v>4500</v>
      </c>
      <c r="K191" s="99">
        <v>187</v>
      </c>
    </row>
    <row r="192" spans="1:11">
      <c r="A192" s="15">
        <v>3</v>
      </c>
      <c r="B192" s="7" t="s">
        <v>24</v>
      </c>
      <c r="C192" s="8" t="str">
        <f>Gia_Tbi!C6</f>
        <v>cái</v>
      </c>
      <c r="D192" s="8">
        <f>Gia_Tbi!D6</f>
        <v>2.2000000000000002</v>
      </c>
      <c r="E192" s="8">
        <f>Gia_Tbi!E6</f>
        <v>8</v>
      </c>
      <c r="F192" s="104">
        <f>Gia_Tbi!F6</f>
        <v>12000000</v>
      </c>
      <c r="G192" s="105">
        <f>Gia_Tbi!G6</f>
        <v>3000</v>
      </c>
      <c r="H192" s="203">
        <v>12.5</v>
      </c>
      <c r="I192" s="106">
        <f>G192*H192</f>
        <v>37500</v>
      </c>
      <c r="K192" s="99">
        <v>188</v>
      </c>
    </row>
    <row r="193" spans="1:11">
      <c r="A193" s="15">
        <v>4</v>
      </c>
      <c r="B193" s="7" t="s">
        <v>23</v>
      </c>
      <c r="C193" s="8" t="str">
        <f>Gia_Tbi!C7</f>
        <v>cái</v>
      </c>
      <c r="D193" s="8">
        <f>Gia_Tbi!D7</f>
        <v>1.5</v>
      </c>
      <c r="E193" s="8">
        <f>Gia_Tbi!E7</f>
        <v>8</v>
      </c>
      <c r="F193" s="104">
        <f>Gia_Tbi!F7</f>
        <v>44000000</v>
      </c>
      <c r="G193" s="105">
        <f>Gia_Tbi!G7</f>
        <v>11000</v>
      </c>
      <c r="H193" s="203">
        <v>5</v>
      </c>
      <c r="I193" s="106">
        <f>G193*H193</f>
        <v>55000</v>
      </c>
      <c r="K193" s="99">
        <v>189</v>
      </c>
    </row>
    <row r="194" spans="1:11">
      <c r="A194" s="57">
        <v>5</v>
      </c>
      <c r="B194" s="58" t="s">
        <v>8</v>
      </c>
      <c r="C194" s="59" t="str">
        <f>Gia_Tbi!C10</f>
        <v>Cái</v>
      </c>
      <c r="D194" s="59">
        <f>Gia_Tbi!D10</f>
        <v>1</v>
      </c>
      <c r="E194" s="140">
        <f>Gia_Tbi!E10</f>
        <v>10</v>
      </c>
      <c r="F194" s="108">
        <f>Gia_Tbi!F10</f>
        <v>80000000</v>
      </c>
      <c r="G194" s="109">
        <f>Gia_Tbi!G10</f>
        <v>16000</v>
      </c>
      <c r="H194" s="197">
        <f>(H190*D190+H191*D191+H192*D192+H193*D193)*8</f>
        <v>621.6</v>
      </c>
      <c r="I194" s="144">
        <f>G194*H194*E194</f>
        <v>99456000</v>
      </c>
      <c r="K194" s="99">
        <v>190</v>
      </c>
    </row>
    <row r="195" spans="1:11" s="103" customFormat="1">
      <c r="A195" s="44" t="e">
        <f>#REF!</f>
        <v>#REF!</v>
      </c>
      <c r="B195" s="45" t="e">
        <f>#REF!</f>
        <v>#REF!</v>
      </c>
      <c r="C195" s="20"/>
      <c r="D195" s="20"/>
      <c r="E195" s="20"/>
      <c r="F195" s="100"/>
      <c r="G195" s="101"/>
      <c r="H195" s="133"/>
      <c r="I195" s="102"/>
      <c r="K195" s="99">
        <v>191</v>
      </c>
    </row>
    <row r="196" spans="1:11">
      <c r="A196" s="15" t="e">
        <f>#REF!</f>
        <v>#REF!</v>
      </c>
      <c r="B196" s="7" t="e">
        <f>#REF!</f>
        <v>#REF!</v>
      </c>
      <c r="C196" s="8"/>
      <c r="D196" s="8"/>
      <c r="E196" s="8"/>
      <c r="F196" s="104"/>
      <c r="G196" s="105"/>
      <c r="H196" s="196"/>
      <c r="I196" s="106"/>
      <c r="K196" s="99">
        <v>192</v>
      </c>
    </row>
    <row r="197" spans="1:11">
      <c r="A197" s="15" t="e">
        <f>#REF!</f>
        <v>#REF!</v>
      </c>
      <c r="B197" s="7" t="e">
        <f>#REF!</f>
        <v>#REF!</v>
      </c>
      <c r="C197" s="8"/>
      <c r="D197" s="8"/>
      <c r="E197" s="8"/>
      <c r="F197" s="104"/>
      <c r="G197" s="105"/>
      <c r="H197" s="196"/>
      <c r="I197" s="102">
        <f>SUM(I198:I201)</f>
        <v>926930</v>
      </c>
      <c r="K197" s="99">
        <v>193</v>
      </c>
    </row>
    <row r="198" spans="1:11">
      <c r="A198" s="15">
        <v>1</v>
      </c>
      <c r="B198" s="7" t="s">
        <v>73</v>
      </c>
      <c r="C198" s="8" t="str">
        <f>Gia_Tbi!C4</f>
        <v>cái</v>
      </c>
      <c r="D198" s="8">
        <f>Gia_Tbi!D4</f>
        <v>0.4</v>
      </c>
      <c r="E198" s="8">
        <f>Gia_Tbi!E4</f>
        <v>5</v>
      </c>
      <c r="F198" s="104">
        <f>Gia_Tbi!F4</f>
        <v>10000000</v>
      </c>
      <c r="G198" s="105">
        <f>Gia_Tbi!G4</f>
        <v>4000</v>
      </c>
      <c r="H198" s="203">
        <v>200</v>
      </c>
      <c r="I198" s="106">
        <f>G198*H198</f>
        <v>800000</v>
      </c>
      <c r="K198" s="99">
        <v>194</v>
      </c>
    </row>
    <row r="199" spans="1:11">
      <c r="A199" s="15">
        <v>2</v>
      </c>
      <c r="B199" s="7" t="s">
        <v>74</v>
      </c>
      <c r="C199" s="8" t="str">
        <f>Gia_Tbi!C5</f>
        <v>cái</v>
      </c>
      <c r="D199" s="8">
        <f>Gia_Tbi!D5</f>
        <v>0.6</v>
      </c>
      <c r="E199" s="8">
        <f>Gia_Tbi!E5</f>
        <v>5</v>
      </c>
      <c r="F199" s="104">
        <f>Gia_Tbi!F5</f>
        <v>2500000</v>
      </c>
      <c r="G199" s="105">
        <f>Gia_Tbi!G5</f>
        <v>1000</v>
      </c>
      <c r="H199" s="203">
        <v>5.4</v>
      </c>
      <c r="I199" s="106">
        <f>G199*H199</f>
        <v>5400</v>
      </c>
      <c r="K199" s="99">
        <v>195</v>
      </c>
    </row>
    <row r="200" spans="1:11">
      <c r="A200" s="15">
        <v>3</v>
      </c>
      <c r="B200" s="7" t="s">
        <v>24</v>
      </c>
      <c r="C200" s="8" t="str">
        <f>Gia_Tbi!C6</f>
        <v>cái</v>
      </c>
      <c r="D200" s="8">
        <f>Gia_Tbi!D6</f>
        <v>2.2000000000000002</v>
      </c>
      <c r="E200" s="8">
        <f>Gia_Tbi!E6</f>
        <v>8</v>
      </c>
      <c r="F200" s="104">
        <f>Gia_Tbi!F6</f>
        <v>12000000</v>
      </c>
      <c r="G200" s="105">
        <f>Gia_Tbi!G6</f>
        <v>3000</v>
      </c>
      <c r="H200" s="203">
        <v>25</v>
      </c>
      <c r="I200" s="106">
        <f>G200*H200</f>
        <v>75000</v>
      </c>
      <c r="K200" s="99">
        <v>196</v>
      </c>
    </row>
    <row r="201" spans="1:11">
      <c r="A201" s="15">
        <v>4</v>
      </c>
      <c r="B201" s="7" t="s">
        <v>23</v>
      </c>
      <c r="C201" s="8" t="str">
        <f>Gia_Tbi!C7</f>
        <v>cái</v>
      </c>
      <c r="D201" s="8">
        <f>Gia_Tbi!D7</f>
        <v>1.5</v>
      </c>
      <c r="E201" s="8">
        <f>Gia_Tbi!E7</f>
        <v>8</v>
      </c>
      <c r="F201" s="104">
        <f>Gia_Tbi!F7</f>
        <v>44000000</v>
      </c>
      <c r="G201" s="105">
        <f>Gia_Tbi!G7</f>
        <v>11000</v>
      </c>
      <c r="H201" s="203">
        <v>4.2300000000000004</v>
      </c>
      <c r="I201" s="106">
        <f>G201*H201</f>
        <v>46530.000000000007</v>
      </c>
      <c r="K201" s="99">
        <v>197</v>
      </c>
    </row>
    <row r="202" spans="1:11">
      <c r="A202" s="57">
        <v>5</v>
      </c>
      <c r="B202" s="58" t="s">
        <v>8</v>
      </c>
      <c r="C202" s="59" t="str">
        <f>Gia_Tbi!C10</f>
        <v>Cái</v>
      </c>
      <c r="D202" s="59">
        <f>Gia_Tbi!D10</f>
        <v>1</v>
      </c>
      <c r="E202" s="140">
        <f>Gia_Tbi!E10</f>
        <v>10</v>
      </c>
      <c r="F202" s="108">
        <f>Gia_Tbi!F10</f>
        <v>80000000</v>
      </c>
      <c r="G202" s="109">
        <f>Gia_Tbi!G10</f>
        <v>16000</v>
      </c>
      <c r="H202" s="197">
        <f>(H198*D198+H199*D199+H200*D200+H201*D201)*8</f>
        <v>1156.68</v>
      </c>
      <c r="I202" s="144">
        <f>G202*H202*E202</f>
        <v>185068800</v>
      </c>
      <c r="K202" s="99">
        <v>198</v>
      </c>
    </row>
    <row r="203" spans="1:11">
      <c r="A203" s="15" t="e">
        <f>#REF!</f>
        <v>#REF!</v>
      </c>
      <c r="B203" s="7" t="e">
        <f>#REF!</f>
        <v>#REF!</v>
      </c>
      <c r="C203" s="8"/>
      <c r="D203" s="8"/>
      <c r="E203" s="8"/>
      <c r="F203" s="104"/>
      <c r="G203" s="105"/>
      <c r="H203" s="196"/>
      <c r="I203" s="106"/>
      <c r="K203" s="99">
        <v>199</v>
      </c>
    </row>
    <row r="204" spans="1:11">
      <c r="A204" s="15" t="e">
        <f>#REF!</f>
        <v>#REF!</v>
      </c>
      <c r="B204" s="7" t="e">
        <f>#REF!</f>
        <v>#REF!</v>
      </c>
      <c r="C204" s="8"/>
      <c r="D204" s="8"/>
      <c r="E204" s="8"/>
      <c r="F204" s="104"/>
      <c r="G204" s="105"/>
      <c r="H204" s="196"/>
      <c r="I204" s="102">
        <f>SUM(I205:I208)</f>
        <v>107</v>
      </c>
      <c r="K204" s="99">
        <v>200</v>
      </c>
    </row>
    <row r="205" spans="1:11">
      <c r="A205" s="15">
        <v>1</v>
      </c>
      <c r="B205" s="7" t="s">
        <v>73</v>
      </c>
      <c r="C205" s="8" t="str">
        <f>Gia_Tbi!C4</f>
        <v>cái</v>
      </c>
      <c r="D205" s="8">
        <f>Gia_Tbi!D4</f>
        <v>0.4</v>
      </c>
      <c r="E205" s="8">
        <f>Gia_Tbi!E4</f>
        <v>5</v>
      </c>
      <c r="F205" s="104">
        <f>Gia_Tbi!F4</f>
        <v>10000000</v>
      </c>
      <c r="G205" s="105">
        <f>Gia_Tbi!G4</f>
        <v>4000</v>
      </c>
      <c r="H205" s="203">
        <v>0.02</v>
      </c>
      <c r="I205" s="106">
        <f>G205*H205</f>
        <v>80</v>
      </c>
      <c r="K205" s="99">
        <v>201</v>
      </c>
    </row>
    <row r="206" spans="1:11">
      <c r="A206" s="15">
        <v>2</v>
      </c>
      <c r="B206" s="7" t="s">
        <v>74</v>
      </c>
      <c r="C206" s="8" t="str">
        <f>Gia_Tbi!C5</f>
        <v>cái</v>
      </c>
      <c r="D206" s="8">
        <f>Gia_Tbi!D5</f>
        <v>0.6</v>
      </c>
      <c r="E206" s="8">
        <f>Gia_Tbi!E5</f>
        <v>5</v>
      </c>
      <c r="F206" s="104">
        <f>Gia_Tbi!F5</f>
        <v>2500000</v>
      </c>
      <c r="G206" s="105">
        <f>Gia_Tbi!G5</f>
        <v>1000</v>
      </c>
      <c r="H206" s="203">
        <v>1E-3</v>
      </c>
      <c r="I206" s="106">
        <f>G206*H206</f>
        <v>1</v>
      </c>
      <c r="K206" s="99">
        <v>202</v>
      </c>
    </row>
    <row r="207" spans="1:11">
      <c r="A207" s="15">
        <v>3</v>
      </c>
      <c r="B207" s="7" t="s">
        <v>24</v>
      </c>
      <c r="C207" s="8" t="str">
        <f>Gia_Tbi!C6</f>
        <v>cái</v>
      </c>
      <c r="D207" s="8">
        <f>Gia_Tbi!D6</f>
        <v>2.2000000000000002</v>
      </c>
      <c r="E207" s="8">
        <f>Gia_Tbi!E6</f>
        <v>8</v>
      </c>
      <c r="F207" s="104">
        <f>Gia_Tbi!F6</f>
        <v>12000000</v>
      </c>
      <c r="G207" s="105">
        <f>Gia_Tbi!G6</f>
        <v>3000</v>
      </c>
      <c r="H207" s="203">
        <v>5.0000000000000001E-3</v>
      </c>
      <c r="I207" s="106">
        <f>G207*H207</f>
        <v>15</v>
      </c>
      <c r="K207" s="99">
        <v>203</v>
      </c>
    </row>
    <row r="208" spans="1:11">
      <c r="A208" s="15">
        <v>4</v>
      </c>
      <c r="B208" s="7" t="s">
        <v>23</v>
      </c>
      <c r="C208" s="8" t="str">
        <f>Gia_Tbi!C7</f>
        <v>cái</v>
      </c>
      <c r="D208" s="8">
        <f>Gia_Tbi!D7</f>
        <v>1.5</v>
      </c>
      <c r="E208" s="8">
        <f>Gia_Tbi!E7</f>
        <v>8</v>
      </c>
      <c r="F208" s="104">
        <f>Gia_Tbi!F7</f>
        <v>44000000</v>
      </c>
      <c r="G208" s="105">
        <f>Gia_Tbi!G7</f>
        <v>11000</v>
      </c>
      <c r="H208" s="203">
        <v>1E-3</v>
      </c>
      <c r="I208" s="106">
        <f>G208*H208</f>
        <v>11</v>
      </c>
      <c r="K208" s="99">
        <v>204</v>
      </c>
    </row>
    <row r="209" spans="1:11">
      <c r="A209" s="57">
        <v>5</v>
      </c>
      <c r="B209" s="58" t="s">
        <v>8</v>
      </c>
      <c r="C209" s="59" t="str">
        <f>Gia_Tbi!C10</f>
        <v>Cái</v>
      </c>
      <c r="D209" s="59">
        <f>Gia_Tbi!D10</f>
        <v>1</v>
      </c>
      <c r="E209" s="140">
        <f>Gia_Tbi!E10</f>
        <v>10</v>
      </c>
      <c r="F209" s="108">
        <f>Gia_Tbi!F10</f>
        <v>80000000</v>
      </c>
      <c r="G209" s="109">
        <f>Gia_Tbi!G10</f>
        <v>16000</v>
      </c>
      <c r="H209" s="197">
        <f>(H205*D205+H206*D206+H207*D207+H208*D208)*8</f>
        <v>0.16880000000000001</v>
      </c>
      <c r="I209" s="144">
        <f>G209*H209*E209</f>
        <v>27008</v>
      </c>
      <c r="K209" s="99">
        <v>205</v>
      </c>
    </row>
    <row r="210" spans="1:11">
      <c r="A210" s="15" t="e">
        <f>#REF!</f>
        <v>#REF!</v>
      </c>
      <c r="B210" s="7" t="e">
        <f>#REF!</f>
        <v>#REF!</v>
      </c>
      <c r="C210" s="8"/>
      <c r="D210" s="8"/>
      <c r="E210" s="8"/>
      <c r="F210" s="104"/>
      <c r="G210" s="105"/>
      <c r="H210" s="196"/>
      <c r="I210" s="102">
        <f>SUM(I211:I214)</f>
        <v>228</v>
      </c>
      <c r="K210" s="99">
        <v>206</v>
      </c>
    </row>
    <row r="211" spans="1:11">
      <c r="A211" s="15">
        <v>1</v>
      </c>
      <c r="B211" s="7" t="s">
        <v>73</v>
      </c>
      <c r="C211" s="8" t="str">
        <f>Gia_Tbi!C4</f>
        <v>cái</v>
      </c>
      <c r="D211" s="8">
        <f>Gia_Tbi!D4</f>
        <v>0.4</v>
      </c>
      <c r="E211" s="8">
        <f>Gia_Tbi!E4</f>
        <v>5</v>
      </c>
      <c r="F211" s="104">
        <f>Gia_Tbi!F4</f>
        <v>10000000</v>
      </c>
      <c r="G211" s="105">
        <f>Gia_Tbi!G4</f>
        <v>4000</v>
      </c>
      <c r="H211" s="203">
        <v>4.4999999999999998E-2</v>
      </c>
      <c r="I211" s="106">
        <f>G211*H211</f>
        <v>180</v>
      </c>
      <c r="K211" s="99">
        <v>207</v>
      </c>
    </row>
    <row r="212" spans="1:11">
      <c r="A212" s="15">
        <v>2</v>
      </c>
      <c r="B212" s="7" t="s">
        <v>74</v>
      </c>
      <c r="C212" s="8" t="str">
        <f>Gia_Tbi!C5</f>
        <v>cái</v>
      </c>
      <c r="D212" s="8">
        <f>Gia_Tbi!D5</f>
        <v>0.6</v>
      </c>
      <c r="E212" s="8">
        <f>Gia_Tbi!E5</f>
        <v>5</v>
      </c>
      <c r="F212" s="104">
        <f>Gia_Tbi!F5</f>
        <v>2500000</v>
      </c>
      <c r="G212" s="105">
        <f>Gia_Tbi!G5</f>
        <v>1000</v>
      </c>
      <c r="H212" s="203">
        <v>1E-3</v>
      </c>
      <c r="I212" s="106">
        <f>G212*H212</f>
        <v>1</v>
      </c>
      <c r="K212" s="99">
        <v>208</v>
      </c>
    </row>
    <row r="213" spans="1:11">
      <c r="A213" s="15">
        <v>3</v>
      </c>
      <c r="B213" s="7" t="s">
        <v>24</v>
      </c>
      <c r="C213" s="8" t="str">
        <f>Gia_Tbi!C6</f>
        <v>cái</v>
      </c>
      <c r="D213" s="8">
        <f>Gia_Tbi!D6</f>
        <v>2.2000000000000002</v>
      </c>
      <c r="E213" s="8">
        <f>Gia_Tbi!E6</f>
        <v>8</v>
      </c>
      <c r="F213" s="104">
        <f>Gia_Tbi!F6</f>
        <v>12000000</v>
      </c>
      <c r="G213" s="105">
        <f>Gia_Tbi!G6</f>
        <v>3000</v>
      </c>
      <c r="H213" s="203">
        <v>1.2E-2</v>
      </c>
      <c r="I213" s="106">
        <f>G213*H213</f>
        <v>36</v>
      </c>
      <c r="K213" s="99">
        <v>209</v>
      </c>
    </row>
    <row r="214" spans="1:11">
      <c r="A214" s="15">
        <v>4</v>
      </c>
      <c r="B214" s="7" t="s">
        <v>23</v>
      </c>
      <c r="C214" s="8" t="str">
        <f>Gia_Tbi!C7</f>
        <v>cái</v>
      </c>
      <c r="D214" s="8">
        <f>Gia_Tbi!D7</f>
        <v>1.5</v>
      </c>
      <c r="E214" s="8">
        <f>Gia_Tbi!E7</f>
        <v>8</v>
      </c>
      <c r="F214" s="104">
        <f>Gia_Tbi!F7</f>
        <v>44000000</v>
      </c>
      <c r="G214" s="105">
        <f>Gia_Tbi!G7</f>
        <v>11000</v>
      </c>
      <c r="H214" s="203">
        <v>1E-3</v>
      </c>
      <c r="I214" s="106">
        <f>G214*H214</f>
        <v>11</v>
      </c>
      <c r="K214" s="99">
        <v>210</v>
      </c>
    </row>
    <row r="215" spans="1:11">
      <c r="A215" s="57">
        <v>5</v>
      </c>
      <c r="B215" s="58" t="s">
        <v>8</v>
      </c>
      <c r="C215" s="59" t="str">
        <f>Gia_Tbi!C10</f>
        <v>Cái</v>
      </c>
      <c r="D215" s="59">
        <f>Gia_Tbi!D10</f>
        <v>1</v>
      </c>
      <c r="E215" s="140">
        <f>Gia_Tbi!E10</f>
        <v>10</v>
      </c>
      <c r="F215" s="108">
        <f>Gia_Tbi!F10</f>
        <v>80000000</v>
      </c>
      <c r="G215" s="109">
        <f>Gia_Tbi!G10</f>
        <v>16000</v>
      </c>
      <c r="H215" s="197">
        <f>(H211*D211+H212*D212+H213*D213+H214*D214)*8</f>
        <v>0.372</v>
      </c>
      <c r="I215" s="144">
        <f>G215*H215*E215</f>
        <v>59520</v>
      </c>
      <c r="K215" s="99">
        <v>211</v>
      </c>
    </row>
    <row r="216" spans="1:11" s="6" customFormat="1">
      <c r="A216" s="14" t="e">
        <f>#REF!</f>
        <v>#REF!</v>
      </c>
      <c r="B216" s="10" t="e">
        <f>#REF!</f>
        <v>#REF!</v>
      </c>
      <c r="C216" s="9"/>
      <c r="D216" s="9"/>
      <c r="E216" s="9"/>
      <c r="F216" s="115"/>
      <c r="G216" s="116"/>
      <c r="H216" s="199"/>
      <c r="I216" s="117"/>
      <c r="K216" s="99">
        <v>212</v>
      </c>
    </row>
    <row r="217" spans="1:11" s="103" customFormat="1">
      <c r="A217" s="44" t="e">
        <f>#REF!</f>
        <v>#REF!</v>
      </c>
      <c r="B217" s="45" t="e">
        <f>#REF!</f>
        <v>#REF!</v>
      </c>
      <c r="C217" s="20"/>
      <c r="D217" s="20"/>
      <c r="E217" s="20"/>
      <c r="F217" s="100"/>
      <c r="G217" s="101"/>
      <c r="H217" s="133"/>
      <c r="I217" s="102"/>
      <c r="K217" s="99">
        <v>213</v>
      </c>
    </row>
    <row r="218" spans="1:11">
      <c r="A218" s="15" t="e">
        <f>#REF!</f>
        <v>#REF!</v>
      </c>
      <c r="B218" s="7" t="e">
        <f>#REF!</f>
        <v>#REF!</v>
      </c>
      <c r="C218" s="8"/>
      <c r="D218" s="8"/>
      <c r="E218" s="8"/>
      <c r="F218" s="104"/>
      <c r="G218" s="105"/>
      <c r="H218" s="196"/>
      <c r="I218" s="102">
        <f>SUM(I219:I222)</f>
        <v>197710</v>
      </c>
      <c r="K218" s="99">
        <v>214</v>
      </c>
    </row>
    <row r="219" spans="1:11">
      <c r="A219" s="15">
        <v>1</v>
      </c>
      <c r="B219" s="7" t="s">
        <v>73</v>
      </c>
      <c r="C219" s="8" t="str">
        <f>Gia_Tbi!C4</f>
        <v>cái</v>
      </c>
      <c r="D219" s="8">
        <f>Gia_Tbi!D4</f>
        <v>0.4</v>
      </c>
      <c r="E219" s="8">
        <f>Gia_Tbi!E4</f>
        <v>5</v>
      </c>
      <c r="F219" s="104">
        <f>Gia_Tbi!F4</f>
        <v>10000000</v>
      </c>
      <c r="G219" s="105">
        <f>Gia_Tbi!G4</f>
        <v>4000</v>
      </c>
      <c r="H219" s="203">
        <v>40</v>
      </c>
      <c r="I219" s="106">
        <f>G219*H219</f>
        <v>160000</v>
      </c>
      <c r="K219" s="99">
        <v>215</v>
      </c>
    </row>
    <row r="220" spans="1:11">
      <c r="A220" s="15">
        <v>2</v>
      </c>
      <c r="B220" s="7" t="s">
        <v>74</v>
      </c>
      <c r="C220" s="8" t="str">
        <f>Gia_Tbi!C5</f>
        <v>cái</v>
      </c>
      <c r="D220" s="8">
        <f>Gia_Tbi!D5</f>
        <v>0.6</v>
      </c>
      <c r="E220" s="8">
        <f>Gia_Tbi!E5</f>
        <v>5</v>
      </c>
      <c r="F220" s="104">
        <f>Gia_Tbi!F5</f>
        <v>2500000</v>
      </c>
      <c r="G220" s="105">
        <f>Gia_Tbi!G5</f>
        <v>1000</v>
      </c>
      <c r="H220" s="203">
        <v>1.2</v>
      </c>
      <c r="I220" s="106">
        <f>G220*H220</f>
        <v>1200</v>
      </c>
      <c r="K220" s="99">
        <v>216</v>
      </c>
    </row>
    <row r="221" spans="1:11">
      <c r="A221" s="15">
        <v>3</v>
      </c>
      <c r="B221" s="7" t="s">
        <v>24</v>
      </c>
      <c r="C221" s="8" t="str">
        <f>Gia_Tbi!C6</f>
        <v>cái</v>
      </c>
      <c r="D221" s="8">
        <f>Gia_Tbi!D6</f>
        <v>2.2000000000000002</v>
      </c>
      <c r="E221" s="8">
        <f>Gia_Tbi!E6</f>
        <v>8</v>
      </c>
      <c r="F221" s="104">
        <f>Gia_Tbi!F6</f>
        <v>12000000</v>
      </c>
      <c r="G221" s="105">
        <f>Gia_Tbi!G6</f>
        <v>3000</v>
      </c>
      <c r="H221" s="203">
        <v>6.67</v>
      </c>
      <c r="I221" s="106">
        <f>G221*H221</f>
        <v>20010</v>
      </c>
      <c r="K221" s="99">
        <v>217</v>
      </c>
    </row>
    <row r="222" spans="1:11">
      <c r="A222" s="15">
        <v>4</v>
      </c>
      <c r="B222" s="7" t="s">
        <v>23</v>
      </c>
      <c r="C222" s="8" t="str">
        <f>Gia_Tbi!C7</f>
        <v>cái</v>
      </c>
      <c r="D222" s="8">
        <f>Gia_Tbi!D7</f>
        <v>1.5</v>
      </c>
      <c r="E222" s="8">
        <f>Gia_Tbi!E7</f>
        <v>8</v>
      </c>
      <c r="F222" s="104">
        <f>Gia_Tbi!F7</f>
        <v>44000000</v>
      </c>
      <c r="G222" s="105">
        <f>Gia_Tbi!G7</f>
        <v>11000</v>
      </c>
      <c r="H222" s="203">
        <v>1.5</v>
      </c>
      <c r="I222" s="106">
        <f>G222*H222</f>
        <v>16500</v>
      </c>
      <c r="K222" s="99">
        <v>218</v>
      </c>
    </row>
    <row r="223" spans="1:11">
      <c r="A223" s="57">
        <v>5</v>
      </c>
      <c r="B223" s="58" t="s">
        <v>8</v>
      </c>
      <c r="C223" s="59" t="str">
        <f>Gia_Tbi!C10</f>
        <v>Cái</v>
      </c>
      <c r="D223" s="59">
        <f>Gia_Tbi!D10</f>
        <v>1</v>
      </c>
      <c r="E223" s="140">
        <f>Gia_Tbi!E10</f>
        <v>10</v>
      </c>
      <c r="F223" s="108">
        <f>Gia_Tbi!F10</f>
        <v>80000000</v>
      </c>
      <c r="G223" s="109">
        <f>Gia_Tbi!G10</f>
        <v>16000</v>
      </c>
      <c r="H223" s="197">
        <f>(H219*D219+H220*D220+H221*D221+H222*D222)*8</f>
        <v>269.15199999999999</v>
      </c>
      <c r="I223" s="144">
        <f>G223*H223*E223</f>
        <v>43064320</v>
      </c>
      <c r="K223" s="99">
        <v>219</v>
      </c>
    </row>
    <row r="224" spans="1:11">
      <c r="A224" s="15" t="e">
        <f>#REF!</f>
        <v>#REF!</v>
      </c>
      <c r="B224" s="7" t="e">
        <f>#REF!</f>
        <v>#REF!</v>
      </c>
      <c r="C224" s="8"/>
      <c r="D224" s="8"/>
      <c r="E224" s="8"/>
      <c r="F224" s="104"/>
      <c r="G224" s="105"/>
      <c r="H224" s="196"/>
      <c r="I224" s="102">
        <f>SUM(I225:I228)</f>
        <v>597990</v>
      </c>
      <c r="K224" s="99">
        <v>220</v>
      </c>
    </row>
    <row r="225" spans="1:11">
      <c r="A225" s="15">
        <v>1</v>
      </c>
      <c r="B225" s="7" t="s">
        <v>73</v>
      </c>
      <c r="C225" s="8" t="str">
        <f>Gia_Tbi!C4</f>
        <v>cái</v>
      </c>
      <c r="D225" s="8">
        <f>Gia_Tbi!D4</f>
        <v>0.4</v>
      </c>
      <c r="E225" s="8">
        <f>Gia_Tbi!E4</f>
        <v>5</v>
      </c>
      <c r="F225" s="104">
        <f>Gia_Tbi!F4</f>
        <v>10000000</v>
      </c>
      <c r="G225" s="105">
        <f>Gia_Tbi!G4</f>
        <v>4000</v>
      </c>
      <c r="H225" s="203">
        <v>125</v>
      </c>
      <c r="I225" s="106">
        <f>G225*H225</f>
        <v>500000</v>
      </c>
      <c r="K225" s="99">
        <v>221</v>
      </c>
    </row>
    <row r="226" spans="1:11">
      <c r="A226" s="15">
        <v>2</v>
      </c>
      <c r="B226" s="7" t="s">
        <v>74</v>
      </c>
      <c r="C226" s="8" t="str">
        <f>Gia_Tbi!C5</f>
        <v>cái</v>
      </c>
      <c r="D226" s="8">
        <f>Gia_Tbi!D5</f>
        <v>0.6</v>
      </c>
      <c r="E226" s="8">
        <f>Gia_Tbi!E5</f>
        <v>5</v>
      </c>
      <c r="F226" s="104">
        <f>Gia_Tbi!F5</f>
        <v>2500000</v>
      </c>
      <c r="G226" s="105">
        <f>Gia_Tbi!G5</f>
        <v>1000</v>
      </c>
      <c r="H226" s="203">
        <v>2.5</v>
      </c>
      <c r="I226" s="106">
        <f>G226*H226</f>
        <v>2500</v>
      </c>
      <c r="K226" s="99">
        <v>222</v>
      </c>
    </row>
    <row r="227" spans="1:11">
      <c r="A227" s="15">
        <v>3</v>
      </c>
      <c r="B227" s="7" t="s">
        <v>24</v>
      </c>
      <c r="C227" s="8" t="str">
        <f>Gia_Tbi!C6</f>
        <v>cái</v>
      </c>
      <c r="D227" s="8">
        <f>Gia_Tbi!D6</f>
        <v>2.2000000000000002</v>
      </c>
      <c r="E227" s="8">
        <f>Gia_Tbi!E6</f>
        <v>8</v>
      </c>
      <c r="F227" s="104">
        <f>Gia_Tbi!F6</f>
        <v>12000000</v>
      </c>
      <c r="G227" s="105">
        <f>Gia_Tbi!G6</f>
        <v>3000</v>
      </c>
      <c r="H227" s="203">
        <v>20.83</v>
      </c>
      <c r="I227" s="106">
        <f>G227*H227</f>
        <v>62489.999999999993</v>
      </c>
      <c r="K227" s="99">
        <v>223</v>
      </c>
    </row>
    <row r="228" spans="1:11">
      <c r="A228" s="15">
        <v>4</v>
      </c>
      <c r="B228" s="7" t="s">
        <v>23</v>
      </c>
      <c r="C228" s="8" t="str">
        <f>Gia_Tbi!C7</f>
        <v>cái</v>
      </c>
      <c r="D228" s="8">
        <f>Gia_Tbi!D7</f>
        <v>1.5</v>
      </c>
      <c r="E228" s="8">
        <f>Gia_Tbi!E7</f>
        <v>8</v>
      </c>
      <c r="F228" s="104">
        <f>Gia_Tbi!F7</f>
        <v>44000000</v>
      </c>
      <c r="G228" s="105">
        <f>Gia_Tbi!G7</f>
        <v>11000</v>
      </c>
      <c r="H228" s="203">
        <v>3</v>
      </c>
      <c r="I228" s="106">
        <f>G228*H228</f>
        <v>33000</v>
      </c>
      <c r="K228" s="99">
        <v>224</v>
      </c>
    </row>
    <row r="229" spans="1:11">
      <c r="A229" s="57">
        <v>5</v>
      </c>
      <c r="B229" s="58" t="s">
        <v>8</v>
      </c>
      <c r="C229" s="59" t="str">
        <f>Gia_Tbi!C10</f>
        <v>Cái</v>
      </c>
      <c r="D229" s="59">
        <f>Gia_Tbi!D10</f>
        <v>1</v>
      </c>
      <c r="E229" s="140">
        <f>Gia_Tbi!E10</f>
        <v>10</v>
      </c>
      <c r="F229" s="108">
        <f>Gia_Tbi!F10</f>
        <v>80000000</v>
      </c>
      <c r="G229" s="109">
        <f>Gia_Tbi!G10</f>
        <v>16000</v>
      </c>
      <c r="H229" s="197">
        <f>(H225*D225+H226*D226+H227*D227+H228*D228)*8</f>
        <v>814.60799999999995</v>
      </c>
      <c r="I229" s="144">
        <f>G229*H229*E229</f>
        <v>130337280</v>
      </c>
      <c r="K229" s="99">
        <v>225</v>
      </c>
    </row>
    <row r="230" spans="1:11" s="103" customFormat="1">
      <c r="A230" s="44" t="e">
        <f>#REF!</f>
        <v>#REF!</v>
      </c>
      <c r="B230" s="45" t="e">
        <f>#REF!</f>
        <v>#REF!</v>
      </c>
      <c r="C230" s="20"/>
      <c r="D230" s="20"/>
      <c r="E230" s="20"/>
      <c r="F230" s="100"/>
      <c r="G230" s="101"/>
      <c r="H230" s="133"/>
      <c r="I230" s="102">
        <f>SUM(I231:I234)</f>
        <v>100850</v>
      </c>
      <c r="K230" s="99">
        <v>226</v>
      </c>
    </row>
    <row r="231" spans="1:11">
      <c r="A231" s="15">
        <v>1</v>
      </c>
      <c r="B231" s="7" t="s">
        <v>73</v>
      </c>
      <c r="C231" s="8" t="str">
        <f>Gia_Tbi!C4</f>
        <v>cái</v>
      </c>
      <c r="D231" s="8">
        <f>Gia_Tbi!D4</f>
        <v>0.4</v>
      </c>
      <c r="E231" s="8">
        <f>Gia_Tbi!E4</f>
        <v>5</v>
      </c>
      <c r="F231" s="104">
        <f>Gia_Tbi!F4</f>
        <v>10000000</v>
      </c>
      <c r="G231" s="105">
        <f>Gia_Tbi!G4</f>
        <v>4000</v>
      </c>
      <c r="H231" s="203">
        <v>20</v>
      </c>
      <c r="I231" s="106">
        <f>G231*H231</f>
        <v>80000</v>
      </c>
      <c r="K231" s="99">
        <v>227</v>
      </c>
    </row>
    <row r="232" spans="1:11">
      <c r="A232" s="15">
        <v>2</v>
      </c>
      <c r="B232" s="7" t="s">
        <v>74</v>
      </c>
      <c r="C232" s="8" t="str">
        <f>Gia_Tbi!C5</f>
        <v>cái</v>
      </c>
      <c r="D232" s="8">
        <f>Gia_Tbi!D5</f>
        <v>0.6</v>
      </c>
      <c r="E232" s="8">
        <f>Gia_Tbi!E5</f>
        <v>5</v>
      </c>
      <c r="F232" s="104">
        <f>Gia_Tbi!F5</f>
        <v>2500000</v>
      </c>
      <c r="G232" s="105">
        <f>Gia_Tbi!G5</f>
        <v>1000</v>
      </c>
      <c r="H232" s="203">
        <v>0.35</v>
      </c>
      <c r="I232" s="106">
        <f>G232*H232</f>
        <v>350</v>
      </c>
      <c r="K232" s="99">
        <v>228</v>
      </c>
    </row>
    <row r="233" spans="1:11">
      <c r="A233" s="15">
        <v>3</v>
      </c>
      <c r="B233" s="7" t="s">
        <v>24</v>
      </c>
      <c r="C233" s="8" t="str">
        <f>Gia_Tbi!C6</f>
        <v>cái</v>
      </c>
      <c r="D233" s="8">
        <f>Gia_Tbi!D6</f>
        <v>2.2000000000000002</v>
      </c>
      <c r="E233" s="8">
        <f>Gia_Tbi!E6</f>
        <v>8</v>
      </c>
      <c r="F233" s="104">
        <f>Gia_Tbi!F6</f>
        <v>12000000</v>
      </c>
      <c r="G233" s="105">
        <f>Gia_Tbi!G6</f>
        <v>3000</v>
      </c>
      <c r="H233" s="203">
        <v>5</v>
      </c>
      <c r="I233" s="106">
        <f>G233*H233</f>
        <v>15000</v>
      </c>
      <c r="K233" s="99">
        <v>229</v>
      </c>
    </row>
    <row r="234" spans="1:11">
      <c r="A234" s="15">
        <v>4</v>
      </c>
      <c r="B234" s="7" t="s">
        <v>23</v>
      </c>
      <c r="C234" s="8" t="str">
        <f>Gia_Tbi!C7</f>
        <v>cái</v>
      </c>
      <c r="D234" s="8">
        <f>Gia_Tbi!D7</f>
        <v>1.5</v>
      </c>
      <c r="E234" s="8">
        <f>Gia_Tbi!E7</f>
        <v>8</v>
      </c>
      <c r="F234" s="104">
        <f>Gia_Tbi!F7</f>
        <v>44000000</v>
      </c>
      <c r="G234" s="105">
        <f>Gia_Tbi!G7</f>
        <v>11000</v>
      </c>
      <c r="H234" s="203">
        <v>0.5</v>
      </c>
      <c r="I234" s="106">
        <f>G234*H234</f>
        <v>5500</v>
      </c>
      <c r="K234" s="99">
        <v>230</v>
      </c>
    </row>
    <row r="235" spans="1:11">
      <c r="A235" s="57">
        <v>5</v>
      </c>
      <c r="B235" s="58" t="s">
        <v>8</v>
      </c>
      <c r="C235" s="59" t="str">
        <f>Gia_Tbi!C10</f>
        <v>Cái</v>
      </c>
      <c r="D235" s="59">
        <f>Gia_Tbi!D10</f>
        <v>1</v>
      </c>
      <c r="E235" s="140">
        <f>Gia_Tbi!E10</f>
        <v>10</v>
      </c>
      <c r="F235" s="108">
        <f>Gia_Tbi!F10</f>
        <v>80000000</v>
      </c>
      <c r="G235" s="109">
        <f>Gia_Tbi!G10</f>
        <v>16000</v>
      </c>
      <c r="H235" s="197">
        <f>(H231*D231+H232*D232+H233*D233+H234*D234)*8</f>
        <v>159.68</v>
      </c>
      <c r="I235" s="144">
        <f>G235*H235*E235</f>
        <v>25548800</v>
      </c>
      <c r="K235" s="99">
        <v>231</v>
      </c>
    </row>
    <row r="236" spans="1:11" s="6" customFormat="1">
      <c r="A236" s="14" t="e">
        <f>#REF!</f>
        <v>#REF!</v>
      </c>
      <c r="B236" s="10" t="e">
        <f>#REF!</f>
        <v>#REF!</v>
      </c>
      <c r="C236" s="9"/>
      <c r="D236" s="9"/>
      <c r="E236" s="9"/>
      <c r="F236" s="115"/>
      <c r="G236" s="116"/>
      <c r="H236" s="199"/>
      <c r="I236" s="117"/>
      <c r="K236" s="99">
        <v>232</v>
      </c>
    </row>
    <row r="237" spans="1:11" s="6" customFormat="1">
      <c r="A237" s="164" t="e">
        <f>#REF!</f>
        <v>#REF!</v>
      </c>
      <c r="B237" s="165" t="e">
        <f>#REF!</f>
        <v>#REF!</v>
      </c>
      <c r="C237" s="166"/>
      <c r="D237" s="166"/>
      <c r="E237" s="166"/>
      <c r="F237" s="180"/>
      <c r="G237" s="181"/>
      <c r="H237" s="202"/>
      <c r="I237" s="182"/>
      <c r="K237" s="99">
        <v>233</v>
      </c>
    </row>
    <row r="238" spans="1:11" s="103" customFormat="1">
      <c r="A238" s="154" t="e">
        <f>#REF!</f>
        <v>#REF!</v>
      </c>
      <c r="B238" s="155" t="e">
        <f>#REF!</f>
        <v>#REF!</v>
      </c>
      <c r="C238" s="156"/>
      <c r="D238" s="156"/>
      <c r="E238" s="156"/>
      <c r="F238" s="183"/>
      <c r="G238" s="184"/>
      <c r="H238" s="204"/>
      <c r="I238" s="185"/>
      <c r="K238" s="99">
        <v>234</v>
      </c>
    </row>
    <row r="239" spans="1:11" s="103" customFormat="1">
      <c r="A239" s="154" t="e">
        <f>#REF!</f>
        <v>#REF!</v>
      </c>
      <c r="B239" s="155" t="e">
        <f>#REF!</f>
        <v>#REF!</v>
      </c>
      <c r="C239" s="156"/>
      <c r="D239" s="156"/>
      <c r="E239" s="156"/>
      <c r="F239" s="183"/>
      <c r="G239" s="184"/>
      <c r="H239" s="204"/>
      <c r="I239" s="185"/>
      <c r="K239" s="99">
        <v>235</v>
      </c>
    </row>
    <row r="240" spans="1:11" s="103" customFormat="1">
      <c r="A240" s="154" t="e">
        <f>#REF!</f>
        <v>#REF!</v>
      </c>
      <c r="B240" s="155" t="e">
        <f>#REF!</f>
        <v>#REF!</v>
      </c>
      <c r="C240" s="156"/>
      <c r="D240" s="156"/>
      <c r="E240" s="156"/>
      <c r="F240" s="183"/>
      <c r="G240" s="184"/>
      <c r="H240" s="204"/>
      <c r="I240" s="185"/>
      <c r="K240" s="99">
        <v>236</v>
      </c>
    </row>
    <row r="241" spans="1:11">
      <c r="A241" s="159" t="e">
        <f>#REF!</f>
        <v>#REF!</v>
      </c>
      <c r="B241" s="160" t="e">
        <f>#REF!</f>
        <v>#REF!</v>
      </c>
      <c r="C241" s="161"/>
      <c r="D241" s="161"/>
      <c r="E241" s="161"/>
      <c r="F241" s="172"/>
      <c r="G241" s="173"/>
      <c r="H241" s="205"/>
      <c r="I241" s="174"/>
      <c r="K241" s="99">
        <v>237</v>
      </c>
    </row>
    <row r="242" spans="1:11">
      <c r="A242" s="159" t="e">
        <f>#REF!</f>
        <v>#REF!</v>
      </c>
      <c r="B242" s="160" t="e">
        <f>#REF!</f>
        <v>#REF!</v>
      </c>
      <c r="C242" s="161"/>
      <c r="D242" s="161"/>
      <c r="E242" s="161"/>
      <c r="F242" s="172"/>
      <c r="G242" s="173"/>
      <c r="H242" s="205"/>
      <c r="I242" s="174"/>
      <c r="K242" s="99">
        <v>238</v>
      </c>
    </row>
    <row r="243" spans="1:11">
      <c r="A243" s="159" t="e">
        <f>#REF!</f>
        <v>#REF!</v>
      </c>
      <c r="B243" s="160" t="e">
        <f>#REF!</f>
        <v>#REF!</v>
      </c>
      <c r="C243" s="161"/>
      <c r="D243" s="161"/>
      <c r="E243" s="161"/>
      <c r="F243" s="172"/>
      <c r="G243" s="173"/>
      <c r="H243" s="205"/>
      <c r="I243" s="174"/>
      <c r="K243" s="99">
        <v>239</v>
      </c>
    </row>
    <row r="244" spans="1:11">
      <c r="A244" s="159" t="e">
        <f>#REF!</f>
        <v>#REF!</v>
      </c>
      <c r="B244" s="160" t="e">
        <f>#REF!</f>
        <v>#REF!</v>
      </c>
      <c r="C244" s="161"/>
      <c r="D244" s="161"/>
      <c r="E244" s="161"/>
      <c r="F244" s="172"/>
      <c r="G244" s="173"/>
      <c r="H244" s="205"/>
      <c r="I244" s="174"/>
      <c r="K244" s="99">
        <v>240</v>
      </c>
    </row>
    <row r="245" spans="1:11">
      <c r="A245" s="175" t="e">
        <f>#REF!</f>
        <v>#REF!</v>
      </c>
      <c r="B245" s="176" t="e">
        <f>#REF!</f>
        <v>#REF!</v>
      </c>
      <c r="C245" s="169"/>
      <c r="D245" s="169"/>
      <c r="E245" s="170"/>
      <c r="F245" s="177"/>
      <c r="G245" s="178"/>
      <c r="H245" s="201"/>
      <c r="I245" s="179"/>
      <c r="K245" s="99">
        <v>241</v>
      </c>
    </row>
    <row r="246" spans="1:11" s="103" customFormat="1">
      <c r="A246" s="154" t="e">
        <f>#REF!</f>
        <v>#REF!</v>
      </c>
      <c r="B246" s="155" t="e">
        <f>#REF!</f>
        <v>#REF!</v>
      </c>
      <c r="C246" s="156"/>
      <c r="D246" s="156"/>
      <c r="E246" s="156"/>
      <c r="F246" s="183"/>
      <c r="G246" s="184"/>
      <c r="H246" s="204"/>
      <c r="I246" s="185"/>
      <c r="K246" s="99">
        <v>242</v>
      </c>
    </row>
    <row r="247" spans="1:11">
      <c r="A247" s="159" t="e">
        <f>#REF!</f>
        <v>#REF!</v>
      </c>
      <c r="B247" s="160" t="e">
        <f>#REF!</f>
        <v>#REF!</v>
      </c>
      <c r="C247" s="161"/>
      <c r="D247" s="161"/>
      <c r="E247" s="161"/>
      <c r="F247" s="172"/>
      <c r="G247" s="173"/>
      <c r="H247" s="205"/>
      <c r="I247" s="174"/>
      <c r="K247" s="99">
        <v>243</v>
      </c>
    </row>
    <row r="248" spans="1:11">
      <c r="A248" s="159" t="e">
        <f>#REF!</f>
        <v>#REF!</v>
      </c>
      <c r="B248" s="160" t="e">
        <f>#REF!</f>
        <v>#REF!</v>
      </c>
      <c r="C248" s="161"/>
      <c r="D248" s="161"/>
      <c r="E248" s="161"/>
      <c r="F248" s="172"/>
      <c r="G248" s="173"/>
      <c r="H248" s="205"/>
      <c r="I248" s="174"/>
      <c r="K248" s="99">
        <v>244</v>
      </c>
    </row>
    <row r="249" spans="1:11">
      <c r="A249" s="159" t="e">
        <f>#REF!</f>
        <v>#REF!</v>
      </c>
      <c r="B249" s="160" t="e">
        <f>#REF!</f>
        <v>#REF!</v>
      </c>
      <c r="C249" s="161"/>
      <c r="D249" s="161"/>
      <c r="E249" s="161"/>
      <c r="F249" s="172"/>
      <c r="G249" s="173"/>
      <c r="H249" s="205"/>
      <c r="I249" s="174"/>
      <c r="K249" s="99">
        <v>245</v>
      </c>
    </row>
    <row r="250" spans="1:11">
      <c r="A250" s="159" t="e">
        <f>#REF!</f>
        <v>#REF!</v>
      </c>
      <c r="B250" s="160" t="e">
        <f>#REF!</f>
        <v>#REF!</v>
      </c>
      <c r="C250" s="161"/>
      <c r="D250" s="161"/>
      <c r="E250" s="161"/>
      <c r="F250" s="172"/>
      <c r="G250" s="173"/>
      <c r="H250" s="205"/>
      <c r="I250" s="174"/>
      <c r="K250" s="99">
        <v>246</v>
      </c>
    </row>
    <row r="251" spans="1:11">
      <c r="A251" s="175" t="e">
        <f>#REF!</f>
        <v>#REF!</v>
      </c>
      <c r="B251" s="176" t="e">
        <f>#REF!</f>
        <v>#REF!</v>
      </c>
      <c r="C251" s="169"/>
      <c r="D251" s="169"/>
      <c r="E251" s="170"/>
      <c r="F251" s="177"/>
      <c r="G251" s="178"/>
      <c r="H251" s="201"/>
      <c r="I251" s="179"/>
      <c r="K251" s="99">
        <v>247</v>
      </c>
    </row>
    <row r="252" spans="1:11" s="103" customFormat="1">
      <c r="A252" s="154" t="e">
        <f>#REF!</f>
        <v>#REF!</v>
      </c>
      <c r="B252" s="155" t="e">
        <f>#REF!</f>
        <v>#REF!</v>
      </c>
      <c r="C252" s="156"/>
      <c r="D252" s="156"/>
      <c r="E252" s="156"/>
      <c r="F252" s="183"/>
      <c r="G252" s="184"/>
      <c r="H252" s="204"/>
      <c r="I252" s="185"/>
      <c r="K252" s="99">
        <v>248</v>
      </c>
    </row>
    <row r="253" spans="1:11" s="103" customFormat="1">
      <c r="A253" s="154" t="e">
        <f>#REF!</f>
        <v>#REF!</v>
      </c>
      <c r="B253" s="155" t="e">
        <f>#REF!</f>
        <v>#REF!</v>
      </c>
      <c r="C253" s="156"/>
      <c r="D253" s="156"/>
      <c r="E253" s="156"/>
      <c r="F253" s="183"/>
      <c r="G253" s="184"/>
      <c r="H253" s="204"/>
      <c r="I253" s="185"/>
      <c r="K253" s="99">
        <v>249</v>
      </c>
    </row>
    <row r="254" spans="1:11">
      <c r="A254" s="159" t="e">
        <f>#REF!</f>
        <v>#REF!</v>
      </c>
      <c r="B254" s="160" t="e">
        <f>#REF!</f>
        <v>#REF!</v>
      </c>
      <c r="C254" s="161"/>
      <c r="D254" s="161"/>
      <c r="E254" s="161"/>
      <c r="F254" s="172"/>
      <c r="G254" s="173"/>
      <c r="H254" s="205"/>
      <c r="I254" s="174"/>
      <c r="K254" s="99">
        <v>250</v>
      </c>
    </row>
    <row r="255" spans="1:11">
      <c r="A255" s="159" t="e">
        <f>#REF!</f>
        <v>#REF!</v>
      </c>
      <c r="B255" s="160" t="e">
        <f>#REF!</f>
        <v>#REF!</v>
      </c>
      <c r="C255" s="161"/>
      <c r="D255" s="161"/>
      <c r="E255" s="161"/>
      <c r="F255" s="172"/>
      <c r="G255" s="173"/>
      <c r="H255" s="205"/>
      <c r="I255" s="174"/>
      <c r="K255" s="99">
        <v>251</v>
      </c>
    </row>
    <row r="256" spans="1:11">
      <c r="A256" s="159" t="e">
        <f>#REF!</f>
        <v>#REF!</v>
      </c>
      <c r="B256" s="160" t="e">
        <f>#REF!</f>
        <v>#REF!</v>
      </c>
      <c r="C256" s="161"/>
      <c r="D256" s="161"/>
      <c r="E256" s="161"/>
      <c r="F256" s="172"/>
      <c r="G256" s="173"/>
      <c r="H256" s="205"/>
      <c r="I256" s="174"/>
      <c r="K256" s="99">
        <v>252</v>
      </c>
    </row>
    <row r="257" spans="1:11">
      <c r="A257" s="159" t="e">
        <f>#REF!</f>
        <v>#REF!</v>
      </c>
      <c r="B257" s="160" t="e">
        <f>#REF!</f>
        <v>#REF!</v>
      </c>
      <c r="C257" s="161"/>
      <c r="D257" s="161"/>
      <c r="E257" s="161"/>
      <c r="F257" s="172"/>
      <c r="G257" s="173"/>
      <c r="H257" s="205"/>
      <c r="I257" s="174"/>
      <c r="K257" s="99">
        <v>253</v>
      </c>
    </row>
    <row r="258" spans="1:11">
      <c r="A258" s="175" t="e">
        <f>#REF!</f>
        <v>#REF!</v>
      </c>
      <c r="B258" s="176" t="e">
        <f>#REF!</f>
        <v>#REF!</v>
      </c>
      <c r="C258" s="169"/>
      <c r="D258" s="169"/>
      <c r="E258" s="170"/>
      <c r="F258" s="177"/>
      <c r="G258" s="178"/>
      <c r="H258" s="201"/>
      <c r="I258" s="179"/>
      <c r="K258" s="99">
        <v>254</v>
      </c>
    </row>
    <row r="259" spans="1:11" s="103" customFormat="1">
      <c r="A259" s="154" t="e">
        <f>#REF!</f>
        <v>#REF!</v>
      </c>
      <c r="B259" s="155" t="e">
        <f>#REF!</f>
        <v>#REF!</v>
      </c>
      <c r="C259" s="156"/>
      <c r="D259" s="156"/>
      <c r="E259" s="156"/>
      <c r="F259" s="183"/>
      <c r="G259" s="184"/>
      <c r="H259" s="204"/>
      <c r="I259" s="185"/>
      <c r="K259" s="99">
        <v>255</v>
      </c>
    </row>
    <row r="260" spans="1:11">
      <c r="A260" s="159" t="e">
        <f>#REF!</f>
        <v>#REF!</v>
      </c>
      <c r="B260" s="160" t="e">
        <f>#REF!</f>
        <v>#REF!</v>
      </c>
      <c r="C260" s="161"/>
      <c r="D260" s="161"/>
      <c r="E260" s="161"/>
      <c r="F260" s="172"/>
      <c r="G260" s="173"/>
      <c r="H260" s="205"/>
      <c r="I260" s="174"/>
      <c r="K260" s="99">
        <v>256</v>
      </c>
    </row>
    <row r="261" spans="1:11">
      <c r="A261" s="159" t="e">
        <f>#REF!</f>
        <v>#REF!</v>
      </c>
      <c r="B261" s="160" t="e">
        <f>#REF!</f>
        <v>#REF!</v>
      </c>
      <c r="C261" s="161"/>
      <c r="D261" s="161"/>
      <c r="E261" s="161"/>
      <c r="F261" s="172"/>
      <c r="G261" s="173"/>
      <c r="H261" s="205"/>
      <c r="I261" s="174"/>
      <c r="K261" s="99">
        <v>257</v>
      </c>
    </row>
    <row r="262" spans="1:11">
      <c r="A262" s="159" t="e">
        <f>#REF!</f>
        <v>#REF!</v>
      </c>
      <c r="B262" s="160" t="e">
        <f>#REF!</f>
        <v>#REF!</v>
      </c>
      <c r="C262" s="161"/>
      <c r="D262" s="161"/>
      <c r="E262" s="161"/>
      <c r="F262" s="172"/>
      <c r="G262" s="173"/>
      <c r="H262" s="205"/>
      <c r="I262" s="174"/>
      <c r="K262" s="99">
        <v>258</v>
      </c>
    </row>
    <row r="263" spans="1:11">
      <c r="A263" s="159" t="e">
        <f>#REF!</f>
        <v>#REF!</v>
      </c>
      <c r="B263" s="160" t="e">
        <f>#REF!</f>
        <v>#REF!</v>
      </c>
      <c r="C263" s="161"/>
      <c r="D263" s="161"/>
      <c r="E263" s="161"/>
      <c r="F263" s="172"/>
      <c r="G263" s="173"/>
      <c r="H263" s="205"/>
      <c r="I263" s="174"/>
      <c r="K263" s="99">
        <v>259</v>
      </c>
    </row>
    <row r="264" spans="1:11">
      <c r="A264" s="175" t="e">
        <f>#REF!</f>
        <v>#REF!</v>
      </c>
      <c r="B264" s="176" t="e">
        <f>#REF!</f>
        <v>#REF!</v>
      </c>
      <c r="C264" s="169"/>
      <c r="D264" s="169"/>
      <c r="E264" s="170"/>
      <c r="F264" s="177"/>
      <c r="G264" s="178"/>
      <c r="H264" s="201"/>
      <c r="I264" s="179"/>
      <c r="K264" s="99">
        <v>260</v>
      </c>
    </row>
    <row r="265" spans="1:11" s="103" customFormat="1">
      <c r="A265" s="154" t="e">
        <f>#REF!</f>
        <v>#REF!</v>
      </c>
      <c r="B265" s="155" t="e">
        <f>#REF!</f>
        <v>#REF!</v>
      </c>
      <c r="C265" s="156"/>
      <c r="D265" s="156"/>
      <c r="E265" s="156"/>
      <c r="F265" s="183"/>
      <c r="G265" s="184"/>
      <c r="H265" s="204"/>
      <c r="I265" s="185"/>
      <c r="K265" s="99">
        <v>261</v>
      </c>
    </row>
    <row r="266" spans="1:11">
      <c r="A266" s="159" t="e">
        <f>#REF!</f>
        <v>#REF!</v>
      </c>
      <c r="B266" s="160" t="e">
        <f>#REF!</f>
        <v>#REF!</v>
      </c>
      <c r="C266" s="161"/>
      <c r="D266" s="161"/>
      <c r="E266" s="161"/>
      <c r="F266" s="172"/>
      <c r="G266" s="173"/>
      <c r="H266" s="205"/>
      <c r="I266" s="174"/>
      <c r="K266" s="99">
        <v>262</v>
      </c>
    </row>
    <row r="267" spans="1:11">
      <c r="A267" s="159" t="e">
        <f>#REF!</f>
        <v>#REF!</v>
      </c>
      <c r="B267" s="160" t="e">
        <f>#REF!</f>
        <v>#REF!</v>
      </c>
      <c r="C267" s="161"/>
      <c r="D267" s="161"/>
      <c r="E267" s="161"/>
      <c r="F267" s="172"/>
      <c r="G267" s="173"/>
      <c r="H267" s="205"/>
      <c r="I267" s="174"/>
      <c r="K267" s="99">
        <v>263</v>
      </c>
    </row>
    <row r="268" spans="1:11" s="6" customFormat="1">
      <c r="A268" s="48" t="e">
        <f>#REF!</f>
        <v>#REF!</v>
      </c>
      <c r="B268" s="49" t="e">
        <f>#REF!</f>
        <v>#REF!</v>
      </c>
      <c r="C268" s="50"/>
      <c r="D268" s="50"/>
      <c r="E268" s="50"/>
      <c r="F268" s="111"/>
      <c r="G268" s="112"/>
      <c r="H268" s="198"/>
      <c r="I268" s="113"/>
      <c r="K268" s="99">
        <v>264</v>
      </c>
    </row>
    <row r="269" spans="1:11" s="103" customFormat="1">
      <c r="A269" s="44" t="e">
        <f>#REF!</f>
        <v>#REF!</v>
      </c>
      <c r="B269" s="45" t="e">
        <f>#REF!</f>
        <v>#REF!</v>
      </c>
      <c r="C269" s="20"/>
      <c r="D269" s="20"/>
      <c r="E269" s="20"/>
      <c r="F269" s="100"/>
      <c r="G269" s="101"/>
      <c r="H269" s="133"/>
      <c r="I269" s="102">
        <f>SUM(I270:I273)</f>
        <v>556010</v>
      </c>
      <c r="K269" s="99">
        <v>265</v>
      </c>
    </row>
    <row r="270" spans="1:11">
      <c r="A270" s="15">
        <v>1</v>
      </c>
      <c r="B270" s="7" t="s">
        <v>73</v>
      </c>
      <c r="C270" s="8" t="str">
        <f>Gia_Tbi!C4</f>
        <v>cái</v>
      </c>
      <c r="D270" s="8">
        <f>Gia_Tbi!D4</f>
        <v>0.4</v>
      </c>
      <c r="E270" s="8">
        <f>Gia_Tbi!E4</f>
        <v>5</v>
      </c>
      <c r="F270" s="104">
        <f>Gia_Tbi!F4</f>
        <v>10000000</v>
      </c>
      <c r="G270" s="105">
        <f>Gia_Tbi!G4</f>
        <v>4000</v>
      </c>
      <c r="H270" s="203">
        <v>100</v>
      </c>
      <c r="I270" s="106">
        <f>G270*H270</f>
        <v>400000</v>
      </c>
      <c r="K270" s="99">
        <v>266</v>
      </c>
    </row>
    <row r="271" spans="1:11">
      <c r="A271" s="15">
        <v>2</v>
      </c>
      <c r="B271" s="7" t="s">
        <v>74</v>
      </c>
      <c r="C271" s="8" t="str">
        <f>Gia_Tbi!C5</f>
        <v>cái</v>
      </c>
      <c r="D271" s="8">
        <f>Gia_Tbi!D5</f>
        <v>0.6</v>
      </c>
      <c r="E271" s="8">
        <f>Gia_Tbi!E5</f>
        <v>5</v>
      </c>
      <c r="F271" s="104">
        <f>Gia_Tbi!F5</f>
        <v>2500000</v>
      </c>
      <c r="G271" s="105">
        <f>Gia_Tbi!G5</f>
        <v>1000</v>
      </c>
      <c r="H271" s="203">
        <v>12.5</v>
      </c>
      <c r="I271" s="106">
        <f>G271*H271</f>
        <v>12500</v>
      </c>
      <c r="K271" s="99">
        <v>267</v>
      </c>
    </row>
    <row r="272" spans="1:11">
      <c r="A272" s="15">
        <v>3</v>
      </c>
      <c r="B272" s="7" t="s">
        <v>24</v>
      </c>
      <c r="C272" s="8" t="str">
        <f>Gia_Tbi!C6</f>
        <v>cái</v>
      </c>
      <c r="D272" s="8">
        <f>Gia_Tbi!D6</f>
        <v>2.2000000000000002</v>
      </c>
      <c r="E272" s="8">
        <f>Gia_Tbi!E6</f>
        <v>8</v>
      </c>
      <c r="F272" s="104">
        <f>Gia_Tbi!F6</f>
        <v>12000000</v>
      </c>
      <c r="G272" s="105">
        <f>Gia_Tbi!G6</f>
        <v>3000</v>
      </c>
      <c r="H272" s="203">
        <v>16.670000000000002</v>
      </c>
      <c r="I272" s="106">
        <f>G272*H272</f>
        <v>50010.000000000007</v>
      </c>
      <c r="K272" s="99">
        <v>268</v>
      </c>
    </row>
    <row r="273" spans="1:11">
      <c r="A273" s="15">
        <v>4</v>
      </c>
      <c r="B273" s="7" t="s">
        <v>23</v>
      </c>
      <c r="C273" s="8" t="str">
        <f>Gia_Tbi!C7</f>
        <v>cái</v>
      </c>
      <c r="D273" s="8">
        <f>Gia_Tbi!D7</f>
        <v>1.5</v>
      </c>
      <c r="E273" s="8">
        <f>Gia_Tbi!E7</f>
        <v>8</v>
      </c>
      <c r="F273" s="104">
        <f>Gia_Tbi!F7</f>
        <v>44000000</v>
      </c>
      <c r="G273" s="105">
        <f>Gia_Tbi!G7</f>
        <v>11000</v>
      </c>
      <c r="H273" s="203">
        <v>8.5</v>
      </c>
      <c r="I273" s="106">
        <f>G273*H273</f>
        <v>93500</v>
      </c>
      <c r="K273" s="99">
        <v>269</v>
      </c>
    </row>
    <row r="274" spans="1:11">
      <c r="A274" s="57">
        <v>5</v>
      </c>
      <c r="B274" s="58" t="s">
        <v>8</v>
      </c>
      <c r="C274" s="59" t="str">
        <f>Gia_Tbi!C10</f>
        <v>Cái</v>
      </c>
      <c r="D274" s="59">
        <f>Gia_Tbi!D10</f>
        <v>1</v>
      </c>
      <c r="E274" s="140">
        <f>Gia_Tbi!E10</f>
        <v>10</v>
      </c>
      <c r="F274" s="108">
        <f>Gia_Tbi!F10</f>
        <v>80000000</v>
      </c>
      <c r="G274" s="109">
        <f>Gia_Tbi!G10</f>
        <v>16000</v>
      </c>
      <c r="H274" s="197">
        <f>(H270*D270+H271*D271+H272*D272+H273*D273)*8</f>
        <v>775.39200000000005</v>
      </c>
      <c r="I274" s="144">
        <f>G274*H274*E274</f>
        <v>124062720</v>
      </c>
      <c r="K274" s="99">
        <v>270</v>
      </c>
    </row>
    <row r="275" spans="1:11" s="103" customFormat="1">
      <c r="A275" s="44" t="e">
        <f>#REF!</f>
        <v>#REF!</v>
      </c>
      <c r="B275" s="45" t="e">
        <f>#REF!</f>
        <v>#REF!</v>
      </c>
      <c r="C275" s="20"/>
      <c r="D275" s="20"/>
      <c r="E275" s="20"/>
      <c r="F275" s="100"/>
      <c r="G275" s="101"/>
      <c r="H275" s="133"/>
      <c r="I275" s="102">
        <f>SUM(I276:I279)</f>
        <v>556010</v>
      </c>
      <c r="K275" s="99">
        <v>271</v>
      </c>
    </row>
    <row r="276" spans="1:11">
      <c r="A276" s="15">
        <v>1</v>
      </c>
      <c r="B276" s="7" t="s">
        <v>73</v>
      </c>
      <c r="C276" s="8" t="str">
        <f>Gia_Tbi!C4</f>
        <v>cái</v>
      </c>
      <c r="D276" s="8">
        <f>Gia_Tbi!D4</f>
        <v>0.4</v>
      </c>
      <c r="E276" s="8">
        <f>Gia_Tbi!E4</f>
        <v>5</v>
      </c>
      <c r="F276" s="104">
        <f>Gia_Tbi!F4</f>
        <v>10000000</v>
      </c>
      <c r="G276" s="105">
        <f>Gia_Tbi!G4</f>
        <v>4000</v>
      </c>
      <c r="H276" s="203">
        <v>100</v>
      </c>
      <c r="I276" s="106">
        <f>G276*H276</f>
        <v>400000</v>
      </c>
      <c r="K276" s="99">
        <v>272</v>
      </c>
    </row>
    <row r="277" spans="1:11">
      <c r="A277" s="15">
        <v>2</v>
      </c>
      <c r="B277" s="7" t="s">
        <v>74</v>
      </c>
      <c r="C277" s="8" t="str">
        <f>Gia_Tbi!C5</f>
        <v>cái</v>
      </c>
      <c r="D277" s="8">
        <f>Gia_Tbi!D5</f>
        <v>0.6</v>
      </c>
      <c r="E277" s="8">
        <f>Gia_Tbi!E5</f>
        <v>5</v>
      </c>
      <c r="F277" s="104">
        <f>Gia_Tbi!F5</f>
        <v>2500000</v>
      </c>
      <c r="G277" s="105">
        <f>Gia_Tbi!G5</f>
        <v>1000</v>
      </c>
      <c r="H277" s="203">
        <v>12.5</v>
      </c>
      <c r="I277" s="106">
        <f>G277*H277</f>
        <v>12500</v>
      </c>
      <c r="K277" s="99">
        <v>273</v>
      </c>
    </row>
    <row r="278" spans="1:11">
      <c r="A278" s="15">
        <v>3</v>
      </c>
      <c r="B278" s="7" t="s">
        <v>24</v>
      </c>
      <c r="C278" s="8" t="str">
        <f>Gia_Tbi!C6</f>
        <v>cái</v>
      </c>
      <c r="D278" s="8">
        <f>Gia_Tbi!D6</f>
        <v>2.2000000000000002</v>
      </c>
      <c r="E278" s="8">
        <f>Gia_Tbi!E6</f>
        <v>8</v>
      </c>
      <c r="F278" s="104">
        <f>Gia_Tbi!F6</f>
        <v>12000000</v>
      </c>
      <c r="G278" s="105">
        <f>Gia_Tbi!G6</f>
        <v>3000</v>
      </c>
      <c r="H278" s="203">
        <v>16.670000000000002</v>
      </c>
      <c r="I278" s="106">
        <f>G278*H278</f>
        <v>50010.000000000007</v>
      </c>
      <c r="K278" s="99">
        <v>274</v>
      </c>
    </row>
    <row r="279" spans="1:11">
      <c r="A279" s="15">
        <v>4</v>
      </c>
      <c r="B279" s="7" t="s">
        <v>23</v>
      </c>
      <c r="C279" s="8" t="str">
        <f>Gia_Tbi!C7</f>
        <v>cái</v>
      </c>
      <c r="D279" s="8">
        <f>Gia_Tbi!D7</f>
        <v>1.5</v>
      </c>
      <c r="E279" s="8">
        <f>Gia_Tbi!E7</f>
        <v>8</v>
      </c>
      <c r="F279" s="104">
        <f>Gia_Tbi!F7</f>
        <v>44000000</v>
      </c>
      <c r="G279" s="105">
        <f>Gia_Tbi!G7</f>
        <v>11000</v>
      </c>
      <c r="H279" s="203">
        <v>8.5</v>
      </c>
      <c r="I279" s="106">
        <f>G279*H279</f>
        <v>93500</v>
      </c>
      <c r="K279" s="99">
        <v>275</v>
      </c>
    </row>
    <row r="280" spans="1:11">
      <c r="A280" s="57">
        <v>5</v>
      </c>
      <c r="B280" s="58" t="s">
        <v>8</v>
      </c>
      <c r="C280" s="59" t="str">
        <f>Gia_Tbi!C10</f>
        <v>Cái</v>
      </c>
      <c r="D280" s="59">
        <f>Gia_Tbi!D10</f>
        <v>1</v>
      </c>
      <c r="E280" s="140">
        <f>Gia_Tbi!E10</f>
        <v>10</v>
      </c>
      <c r="F280" s="108">
        <f>Gia_Tbi!F10</f>
        <v>80000000</v>
      </c>
      <c r="G280" s="109">
        <f>Gia_Tbi!G10</f>
        <v>16000</v>
      </c>
      <c r="H280" s="197">
        <f>(H276*D276+H277*D277+H278*D278+H279*D279)*8</f>
        <v>775.39200000000005</v>
      </c>
      <c r="I280" s="144">
        <f>G280*H280*E280</f>
        <v>124062720</v>
      </c>
      <c r="K280" s="99">
        <v>276</v>
      </c>
    </row>
    <row r="281" spans="1:11" s="6" customFormat="1">
      <c r="A281" s="14" t="e">
        <f>#REF!</f>
        <v>#REF!</v>
      </c>
      <c r="B281" s="10" t="e">
        <f>#REF!</f>
        <v>#REF!</v>
      </c>
      <c r="C281" s="9"/>
      <c r="D281" s="9"/>
      <c r="E281" s="9"/>
      <c r="F281" s="115"/>
      <c r="G281" s="116"/>
      <c r="H281" s="199"/>
      <c r="I281" s="117"/>
      <c r="K281" s="99">
        <v>277</v>
      </c>
    </row>
    <row r="282" spans="1:11" s="103" customFormat="1">
      <c r="A282" s="44" t="e">
        <f>#REF!</f>
        <v>#REF!</v>
      </c>
      <c r="B282" s="45" t="e">
        <f>#REF!</f>
        <v>#REF!</v>
      </c>
      <c r="C282" s="20"/>
      <c r="D282" s="20"/>
      <c r="E282" s="20"/>
      <c r="F282" s="100"/>
      <c r="G282" s="101"/>
      <c r="H282" s="133"/>
      <c r="I282" s="102">
        <f>I284</f>
        <v>888</v>
      </c>
      <c r="K282" s="99">
        <v>278</v>
      </c>
    </row>
    <row r="283" spans="1:11">
      <c r="A283" s="15" t="e">
        <f>#REF!</f>
        <v>#REF!</v>
      </c>
      <c r="B283" s="7" t="e">
        <f>#REF!</f>
        <v>#REF!</v>
      </c>
      <c r="C283" s="8"/>
      <c r="D283" s="8"/>
      <c r="E283" s="8"/>
      <c r="F283" s="104"/>
      <c r="G283" s="105"/>
      <c r="H283" s="196"/>
      <c r="I283" s="106">
        <f>I284</f>
        <v>888</v>
      </c>
      <c r="K283" s="99">
        <v>279</v>
      </c>
    </row>
    <row r="284" spans="1:11">
      <c r="A284" s="15" t="e">
        <f>#REF!</f>
        <v>#REF!</v>
      </c>
      <c r="B284" s="7" t="e">
        <f>#REF!</f>
        <v>#REF!</v>
      </c>
      <c r="C284" s="8"/>
      <c r="D284" s="8"/>
      <c r="E284" s="8"/>
      <c r="F284" s="104"/>
      <c r="G284" s="105"/>
      <c r="H284" s="196"/>
      <c r="I284" s="102">
        <f>SUM(I285:I289)</f>
        <v>888</v>
      </c>
      <c r="K284" s="99">
        <v>280</v>
      </c>
    </row>
    <row r="285" spans="1:11">
      <c r="A285" s="15">
        <v>1</v>
      </c>
      <c r="B285" s="7" t="s">
        <v>73</v>
      </c>
      <c r="C285" s="8" t="str">
        <f>Gia_Tbi!C4</f>
        <v>cái</v>
      </c>
      <c r="D285" s="8">
        <f>Gia_Tbi!D4</f>
        <v>0.4</v>
      </c>
      <c r="E285" s="8">
        <f>Gia_Tbi!E4</f>
        <v>5</v>
      </c>
      <c r="F285" s="104">
        <f>Gia_Tbi!F4</f>
        <v>10000000</v>
      </c>
      <c r="G285" s="105">
        <f>Gia_Tbi!G4</f>
        <v>4000</v>
      </c>
      <c r="H285" s="203">
        <v>0.12</v>
      </c>
      <c r="I285" s="106">
        <f>G285*H285</f>
        <v>480</v>
      </c>
      <c r="K285" s="99">
        <v>281</v>
      </c>
    </row>
    <row r="286" spans="1:11">
      <c r="A286" s="15">
        <v>2</v>
      </c>
      <c r="B286" s="7" t="s">
        <v>74</v>
      </c>
      <c r="C286" s="8" t="str">
        <f>Gia_Tbi!C5</f>
        <v>cái</v>
      </c>
      <c r="D286" s="8">
        <f>Gia_Tbi!D5</f>
        <v>0.6</v>
      </c>
      <c r="E286" s="8">
        <f>Gia_Tbi!E5</f>
        <v>5</v>
      </c>
      <c r="F286" s="104">
        <f>Gia_Tbi!F5</f>
        <v>2500000</v>
      </c>
      <c r="G286" s="105">
        <f>Gia_Tbi!G5</f>
        <v>1000</v>
      </c>
      <c r="H286" s="203">
        <v>4.0000000000000001E-3</v>
      </c>
      <c r="I286" s="106">
        <f>G286*H286</f>
        <v>4</v>
      </c>
      <c r="K286" s="99">
        <v>282</v>
      </c>
    </row>
    <row r="287" spans="1:11">
      <c r="A287" s="15">
        <v>3</v>
      </c>
      <c r="B287" s="7" t="s">
        <v>89</v>
      </c>
      <c r="C287" s="8" t="str">
        <f>Gia_Tbi!C8</f>
        <v>cái</v>
      </c>
      <c r="D287" s="8">
        <f>Gia_Tbi!D8</f>
        <v>0.6</v>
      </c>
      <c r="E287" s="8">
        <f>Gia_Tbi!E8</f>
        <v>8</v>
      </c>
      <c r="F287" s="104">
        <f>Gia_Tbi!F8</f>
        <v>10000000</v>
      </c>
      <c r="G287" s="105">
        <f>Gia_Tbi!G8</f>
        <v>2500</v>
      </c>
      <c r="H287" s="203">
        <v>0.12</v>
      </c>
      <c r="I287" s="106">
        <f>G287*H287</f>
        <v>300</v>
      </c>
      <c r="K287" s="99">
        <v>283</v>
      </c>
    </row>
    <row r="288" spans="1:11">
      <c r="A288" s="15">
        <v>4</v>
      </c>
      <c r="B288" s="7" t="s">
        <v>24</v>
      </c>
      <c r="C288" s="8" t="str">
        <f>Gia_Tbi!C6</f>
        <v>cái</v>
      </c>
      <c r="D288" s="8">
        <f>Gia_Tbi!D6</f>
        <v>2.2000000000000002</v>
      </c>
      <c r="E288" s="8">
        <f>Gia_Tbi!E6</f>
        <v>8</v>
      </c>
      <c r="F288" s="104">
        <f>Gia_Tbi!F6</f>
        <v>12000000</v>
      </c>
      <c r="G288" s="105">
        <f>Gia_Tbi!G6</f>
        <v>3000</v>
      </c>
      <c r="H288" s="203">
        <v>0.02</v>
      </c>
      <c r="I288" s="106">
        <f>G288*H288</f>
        <v>60</v>
      </c>
      <c r="K288" s="99">
        <v>284</v>
      </c>
    </row>
    <row r="289" spans="1:11">
      <c r="A289" s="15">
        <v>5</v>
      </c>
      <c r="B289" s="7" t="s">
        <v>23</v>
      </c>
      <c r="C289" s="8" t="str">
        <f>Gia_Tbi!C7</f>
        <v>cái</v>
      </c>
      <c r="D289" s="8">
        <f>Gia_Tbi!D7</f>
        <v>1.5</v>
      </c>
      <c r="E289" s="8">
        <f>Gia_Tbi!E7</f>
        <v>8</v>
      </c>
      <c r="F289" s="104">
        <f>Gia_Tbi!F7</f>
        <v>44000000</v>
      </c>
      <c r="G289" s="105">
        <f>Gia_Tbi!G7</f>
        <v>11000</v>
      </c>
      <c r="H289" s="203">
        <v>4.0000000000000001E-3</v>
      </c>
      <c r="I289" s="106">
        <f>G289*H289</f>
        <v>44</v>
      </c>
      <c r="K289" s="99">
        <v>285</v>
      </c>
    </row>
    <row r="290" spans="1:11">
      <c r="A290" s="15">
        <v>6</v>
      </c>
      <c r="B290" s="58" t="s">
        <v>8</v>
      </c>
      <c r="C290" s="59" t="str">
        <f>Gia_Tbi!C10</f>
        <v>Cái</v>
      </c>
      <c r="D290" s="59">
        <f>Gia_Tbi!D10</f>
        <v>1</v>
      </c>
      <c r="E290" s="140">
        <f>Gia_Tbi!E10</f>
        <v>10</v>
      </c>
      <c r="F290" s="108">
        <f>Gia_Tbi!F10</f>
        <v>80000000</v>
      </c>
      <c r="G290" s="109">
        <f>Gia_Tbi!G10</f>
        <v>16000</v>
      </c>
      <c r="H290" s="197">
        <f>(H285*D285+H286*D286+H287*D287+H288*D288+H289*D289)*8</f>
        <v>1.3792</v>
      </c>
      <c r="I290" s="144">
        <f>G290*H290*E290</f>
        <v>220672</v>
      </c>
      <c r="K290" s="99">
        <v>286</v>
      </c>
    </row>
    <row r="291" spans="1:11" s="103" customFormat="1">
      <c r="A291" s="44" t="e">
        <f>#REF!</f>
        <v>#REF!</v>
      </c>
      <c r="B291" s="45" t="e">
        <f>#REF!</f>
        <v>#REF!</v>
      </c>
      <c r="C291" s="20"/>
      <c r="D291" s="20"/>
      <c r="E291" s="20"/>
      <c r="F291" s="100"/>
      <c r="G291" s="101"/>
      <c r="H291" s="133"/>
      <c r="I291" s="102">
        <f>SUM(I292:I296)</f>
        <v>445</v>
      </c>
      <c r="K291" s="99">
        <v>287</v>
      </c>
    </row>
    <row r="292" spans="1:11">
      <c r="A292" s="15">
        <v>1</v>
      </c>
      <c r="B292" s="7" t="s">
        <v>73</v>
      </c>
      <c r="C292" s="8" t="str">
        <f>Gia_Tbi!C4</f>
        <v>cái</v>
      </c>
      <c r="D292" s="8">
        <f>Gia_Tbi!D4</f>
        <v>0.4</v>
      </c>
      <c r="E292" s="8">
        <f>Gia_Tbi!E4</f>
        <v>5</v>
      </c>
      <c r="F292" s="104">
        <f>Gia_Tbi!F4</f>
        <v>10000000</v>
      </c>
      <c r="G292" s="105">
        <f>Gia_Tbi!G4</f>
        <v>4000</v>
      </c>
      <c r="H292" s="203">
        <v>0.06</v>
      </c>
      <c r="I292" s="106">
        <f>G292*H292</f>
        <v>240</v>
      </c>
      <c r="K292" s="99">
        <v>288</v>
      </c>
    </row>
    <row r="293" spans="1:11">
      <c r="A293" s="15">
        <v>2</v>
      </c>
      <c r="B293" s="7" t="s">
        <v>74</v>
      </c>
      <c r="C293" s="8" t="str">
        <f>Gia_Tbi!C5</f>
        <v>cái</v>
      </c>
      <c r="D293" s="8">
        <f>Gia_Tbi!D5</f>
        <v>0.6</v>
      </c>
      <c r="E293" s="8">
        <f>Gia_Tbi!E5</f>
        <v>5</v>
      </c>
      <c r="F293" s="104">
        <f>Gia_Tbi!F5</f>
        <v>2500000</v>
      </c>
      <c r="G293" s="105">
        <f>Gia_Tbi!G5</f>
        <v>1000</v>
      </c>
      <c r="H293" s="203">
        <v>3.0000000000000001E-3</v>
      </c>
      <c r="I293" s="106">
        <f>G293*H293</f>
        <v>3</v>
      </c>
      <c r="K293" s="99">
        <v>289</v>
      </c>
    </row>
    <row r="294" spans="1:11">
      <c r="A294" s="15">
        <v>3</v>
      </c>
      <c r="B294" s="7" t="s">
        <v>89</v>
      </c>
      <c r="C294" s="8" t="str">
        <f>Gia_Tbi!C8</f>
        <v>cái</v>
      </c>
      <c r="D294" s="8">
        <f>Gia_Tbi!D8</f>
        <v>0.6</v>
      </c>
      <c r="E294" s="8">
        <f>Gia_Tbi!E8</f>
        <v>8</v>
      </c>
      <c r="F294" s="104">
        <f>Gia_Tbi!F8</f>
        <v>10000000</v>
      </c>
      <c r="G294" s="105">
        <f>Gia_Tbi!G8</f>
        <v>2500</v>
      </c>
      <c r="H294" s="203">
        <v>0.06</v>
      </c>
      <c r="I294" s="106">
        <f>G294*H294</f>
        <v>150</v>
      </c>
      <c r="K294" s="99">
        <v>290</v>
      </c>
    </row>
    <row r="295" spans="1:11">
      <c r="A295" s="15">
        <v>4</v>
      </c>
      <c r="B295" s="7" t="s">
        <v>24</v>
      </c>
      <c r="C295" s="8" t="str">
        <f>Gia_Tbi!C6</f>
        <v>cái</v>
      </c>
      <c r="D295" s="8">
        <f>Gia_Tbi!D6</f>
        <v>2.2000000000000002</v>
      </c>
      <c r="E295" s="8">
        <f>Gia_Tbi!E6</f>
        <v>8</v>
      </c>
      <c r="F295" s="104">
        <f>Gia_Tbi!F6</f>
        <v>12000000</v>
      </c>
      <c r="G295" s="105">
        <f>Gia_Tbi!G6</f>
        <v>3000</v>
      </c>
      <c r="H295" s="203">
        <v>0.01</v>
      </c>
      <c r="I295" s="106">
        <f>G295*H295</f>
        <v>30</v>
      </c>
      <c r="K295" s="99">
        <v>291</v>
      </c>
    </row>
    <row r="296" spans="1:11">
      <c r="A296" s="15">
        <v>5</v>
      </c>
      <c r="B296" s="7" t="s">
        <v>23</v>
      </c>
      <c r="C296" s="8" t="str">
        <f>Gia_Tbi!C7</f>
        <v>cái</v>
      </c>
      <c r="D296" s="8">
        <f>Gia_Tbi!D7</f>
        <v>1.5</v>
      </c>
      <c r="E296" s="8">
        <f>Gia_Tbi!E7</f>
        <v>8</v>
      </c>
      <c r="F296" s="104">
        <f>Gia_Tbi!F7</f>
        <v>44000000</v>
      </c>
      <c r="G296" s="105">
        <f>Gia_Tbi!G7</f>
        <v>11000</v>
      </c>
      <c r="H296" s="203">
        <v>2E-3</v>
      </c>
      <c r="I296" s="106">
        <f>G296*H296</f>
        <v>22</v>
      </c>
      <c r="K296" s="99">
        <v>292</v>
      </c>
    </row>
    <row r="297" spans="1:11">
      <c r="A297" s="15">
        <v>6</v>
      </c>
      <c r="B297" s="58" t="s">
        <v>8</v>
      </c>
      <c r="C297" s="59" t="str">
        <f>Gia_Tbi!C10</f>
        <v>Cái</v>
      </c>
      <c r="D297" s="59">
        <f>Gia_Tbi!D10</f>
        <v>1</v>
      </c>
      <c r="E297" s="140">
        <f>Gia_Tbi!E10</f>
        <v>10</v>
      </c>
      <c r="F297" s="108">
        <f>Gia_Tbi!F10</f>
        <v>80000000</v>
      </c>
      <c r="G297" s="109">
        <f>Gia_Tbi!G10</f>
        <v>16000</v>
      </c>
      <c r="H297" s="197">
        <f>(H292*D292+H293*D293+H294*D294+H295*D295+H296*D296)*8</f>
        <v>0.69440000000000002</v>
      </c>
      <c r="I297" s="144">
        <f>G297*H297*E297</f>
        <v>111104</v>
      </c>
      <c r="K297" s="99">
        <v>293</v>
      </c>
    </row>
    <row r="298" spans="1:11" s="103" customFormat="1">
      <c r="A298" s="44" t="e">
        <f>#REF!</f>
        <v>#REF!</v>
      </c>
      <c r="B298" s="45" t="e">
        <f>#REF!</f>
        <v>#REF!</v>
      </c>
      <c r="C298" s="20"/>
      <c r="D298" s="20"/>
      <c r="E298" s="20"/>
      <c r="F298" s="100"/>
      <c r="G298" s="101"/>
      <c r="H298" s="133"/>
      <c r="I298" s="102"/>
      <c r="K298" s="99">
        <v>294</v>
      </c>
    </row>
    <row r="299" spans="1:11">
      <c r="A299" s="57" t="e">
        <f>#REF!</f>
        <v>#REF!</v>
      </c>
      <c r="B299" s="58" t="e">
        <f>#REF!</f>
        <v>#REF!</v>
      </c>
      <c r="C299" s="59"/>
      <c r="D299" s="59"/>
      <c r="E299" s="59"/>
      <c r="F299" s="108"/>
      <c r="G299" s="109"/>
      <c r="H299" s="197"/>
      <c r="I299" s="110"/>
      <c r="K299" s="99">
        <v>295</v>
      </c>
    </row>
    <row r="300" spans="1:11" s="6" customFormat="1">
      <c r="A300" s="48" t="e">
        <f>#REF!</f>
        <v>#REF!</v>
      </c>
      <c r="B300" s="49" t="e">
        <f>#REF!</f>
        <v>#REF!</v>
      </c>
      <c r="C300" s="50"/>
      <c r="D300" s="50"/>
      <c r="E300" s="50"/>
      <c r="F300" s="111"/>
      <c r="G300" s="112"/>
      <c r="H300" s="198"/>
      <c r="I300" s="113"/>
      <c r="K300" s="99">
        <v>296</v>
      </c>
    </row>
    <row r="301" spans="1:11" s="103" customFormat="1">
      <c r="A301" s="44" t="e">
        <f>#REF!</f>
        <v>#REF!</v>
      </c>
      <c r="B301" s="45" t="e">
        <f>#REF!</f>
        <v>#REF!</v>
      </c>
      <c r="C301" s="20"/>
      <c r="D301" s="20"/>
      <c r="E301" s="20"/>
      <c r="F301" s="100"/>
      <c r="G301" s="101"/>
      <c r="H301" s="133"/>
      <c r="I301" s="102">
        <f>SUM(I302:I305)</f>
        <v>516010</v>
      </c>
      <c r="K301" s="99">
        <v>297</v>
      </c>
    </row>
    <row r="302" spans="1:11">
      <c r="A302" s="15">
        <v>1</v>
      </c>
      <c r="B302" s="7" t="s">
        <v>73</v>
      </c>
      <c r="C302" s="8" t="str">
        <f>Gia_Tbi!C4</f>
        <v>cái</v>
      </c>
      <c r="D302" s="8">
        <f>Gia_Tbi!D4</f>
        <v>0.4</v>
      </c>
      <c r="E302" s="8">
        <f>Gia_Tbi!E4</f>
        <v>5</v>
      </c>
      <c r="F302" s="104">
        <f>Gia_Tbi!F4</f>
        <v>10000000</v>
      </c>
      <c r="G302" s="105">
        <f>Gia_Tbi!G4</f>
        <v>4000</v>
      </c>
      <c r="H302" s="203">
        <v>105</v>
      </c>
      <c r="I302" s="106">
        <f>G302*H302</f>
        <v>420000</v>
      </c>
      <c r="K302" s="99">
        <v>298</v>
      </c>
    </row>
    <row r="303" spans="1:11">
      <c r="A303" s="15">
        <v>2</v>
      </c>
      <c r="B303" s="7" t="s">
        <v>74</v>
      </c>
      <c r="C303" s="8" t="str">
        <f>Gia_Tbi!C5</f>
        <v>cái</v>
      </c>
      <c r="D303" s="8">
        <f>Gia_Tbi!D5</f>
        <v>0.6</v>
      </c>
      <c r="E303" s="8">
        <f>Gia_Tbi!E5</f>
        <v>5</v>
      </c>
      <c r="F303" s="104">
        <f>Gia_Tbi!F5</f>
        <v>2500000</v>
      </c>
      <c r="G303" s="105">
        <f>Gia_Tbi!G5</f>
        <v>1000</v>
      </c>
      <c r="H303" s="203">
        <v>6</v>
      </c>
      <c r="I303" s="106">
        <f>G303*H303</f>
        <v>6000</v>
      </c>
      <c r="K303" s="99">
        <v>299</v>
      </c>
    </row>
    <row r="304" spans="1:11">
      <c r="A304" s="15">
        <v>3</v>
      </c>
      <c r="B304" s="7" t="s">
        <v>24</v>
      </c>
      <c r="C304" s="8" t="str">
        <f>Gia_Tbi!C6</f>
        <v>cái</v>
      </c>
      <c r="D304" s="8">
        <f>Gia_Tbi!D6</f>
        <v>2.2000000000000002</v>
      </c>
      <c r="E304" s="8">
        <f>Gia_Tbi!E6</f>
        <v>8</v>
      </c>
      <c r="F304" s="104">
        <f>Gia_Tbi!F6</f>
        <v>12000000</v>
      </c>
      <c r="G304" s="105">
        <f>Gia_Tbi!G6</f>
        <v>3000</v>
      </c>
      <c r="H304" s="203">
        <v>11.67</v>
      </c>
      <c r="I304" s="106">
        <f>G304*H304</f>
        <v>35010</v>
      </c>
      <c r="K304" s="99">
        <v>300</v>
      </c>
    </row>
    <row r="305" spans="1:11">
      <c r="A305" s="15">
        <v>4</v>
      </c>
      <c r="B305" s="7" t="s">
        <v>23</v>
      </c>
      <c r="C305" s="8" t="str">
        <f>Gia_Tbi!C7</f>
        <v>cái</v>
      </c>
      <c r="D305" s="8">
        <f>Gia_Tbi!D7</f>
        <v>1.5</v>
      </c>
      <c r="E305" s="8">
        <f>Gia_Tbi!E7</f>
        <v>8</v>
      </c>
      <c r="F305" s="104">
        <f>Gia_Tbi!F7</f>
        <v>44000000</v>
      </c>
      <c r="G305" s="105">
        <f>Gia_Tbi!G7</f>
        <v>11000</v>
      </c>
      <c r="H305" s="203">
        <v>5</v>
      </c>
      <c r="I305" s="106">
        <f>G305*H305</f>
        <v>55000</v>
      </c>
      <c r="K305" s="99">
        <v>301</v>
      </c>
    </row>
    <row r="306" spans="1:11">
      <c r="A306" s="57">
        <v>5</v>
      </c>
      <c r="B306" s="58" t="s">
        <v>8</v>
      </c>
      <c r="C306" s="59" t="str">
        <f>Gia_Tbi!C10</f>
        <v>Cái</v>
      </c>
      <c r="D306" s="59">
        <f>Gia_Tbi!D10</f>
        <v>1</v>
      </c>
      <c r="E306" s="140">
        <f>Gia_Tbi!E10</f>
        <v>10</v>
      </c>
      <c r="F306" s="108">
        <f>Gia_Tbi!F10</f>
        <v>80000000</v>
      </c>
      <c r="G306" s="109">
        <f>Gia_Tbi!G10</f>
        <v>16000</v>
      </c>
      <c r="H306" s="197">
        <f>(H302*D302+H303*D303+H304*D304+H305*D305)*8</f>
        <v>630.19200000000001</v>
      </c>
      <c r="I306" s="144">
        <f>G306*H306*E306</f>
        <v>100830720</v>
      </c>
      <c r="K306" s="99">
        <v>302</v>
      </c>
    </row>
    <row r="307" spans="1:11" s="103" customFormat="1">
      <c r="A307" s="44" t="e">
        <f>#REF!</f>
        <v>#REF!</v>
      </c>
      <c r="B307" s="45" t="e">
        <f>#REF!</f>
        <v>#REF!</v>
      </c>
      <c r="C307" s="20"/>
      <c r="D307" s="20"/>
      <c r="E307" s="20"/>
      <c r="F307" s="100"/>
      <c r="G307" s="101"/>
      <c r="H307" s="133"/>
      <c r="I307" s="102">
        <f>SUM(I308:I311)</f>
        <v>7660</v>
      </c>
      <c r="K307" s="99">
        <v>303</v>
      </c>
    </row>
    <row r="308" spans="1:11">
      <c r="A308" s="15">
        <v>1</v>
      </c>
      <c r="B308" s="7" t="s">
        <v>73</v>
      </c>
      <c r="C308" s="8" t="str">
        <f>Gia_Tbi!C4</f>
        <v>cái</v>
      </c>
      <c r="D308" s="8">
        <f>Gia_Tbi!D4</f>
        <v>0.4</v>
      </c>
      <c r="E308" s="8">
        <f>Gia_Tbi!E4</f>
        <v>5</v>
      </c>
      <c r="F308" s="104">
        <f>Gia_Tbi!F4</f>
        <v>10000000</v>
      </c>
      <c r="G308" s="105">
        <f>Gia_Tbi!G4</f>
        <v>4000</v>
      </c>
      <c r="H308" s="203">
        <v>1.46</v>
      </c>
      <c r="I308" s="106">
        <f>G308*H308</f>
        <v>5840</v>
      </c>
      <c r="K308" s="99">
        <v>304</v>
      </c>
    </row>
    <row r="309" spans="1:11">
      <c r="A309" s="15">
        <v>2</v>
      </c>
      <c r="B309" s="7" t="s">
        <v>74</v>
      </c>
      <c r="C309" s="8" t="str">
        <f>Gia_Tbi!C5</f>
        <v>cái</v>
      </c>
      <c r="D309" s="8">
        <f>Gia_Tbi!D5</f>
        <v>0.6</v>
      </c>
      <c r="E309" s="8">
        <f>Gia_Tbi!E5</f>
        <v>5</v>
      </c>
      <c r="F309" s="104">
        <f>Gia_Tbi!F5</f>
        <v>2500000</v>
      </c>
      <c r="G309" s="105">
        <f>Gia_Tbi!G5</f>
        <v>1000</v>
      </c>
      <c r="H309" s="203">
        <v>0.02</v>
      </c>
      <c r="I309" s="106">
        <f>G309*H309</f>
        <v>20</v>
      </c>
      <c r="K309" s="99">
        <v>305</v>
      </c>
    </row>
    <row r="310" spans="1:11">
      <c r="A310" s="15">
        <v>3</v>
      </c>
      <c r="B310" s="7" t="s">
        <v>24</v>
      </c>
      <c r="C310" s="8" t="str">
        <f>Gia_Tbi!C6</f>
        <v>cái</v>
      </c>
      <c r="D310" s="8">
        <f>Gia_Tbi!D6</f>
        <v>2.2000000000000002</v>
      </c>
      <c r="E310" s="8">
        <f>Gia_Tbi!E6</f>
        <v>8</v>
      </c>
      <c r="F310" s="104">
        <f>Gia_Tbi!F6</f>
        <v>12000000</v>
      </c>
      <c r="G310" s="105">
        <f>Gia_Tbi!G6</f>
        <v>3000</v>
      </c>
      <c r="H310" s="203">
        <v>0.49</v>
      </c>
      <c r="I310" s="106">
        <f>G310*H310</f>
        <v>1470</v>
      </c>
      <c r="K310" s="99">
        <v>306</v>
      </c>
    </row>
    <row r="311" spans="1:11">
      <c r="A311" s="15">
        <v>4</v>
      </c>
      <c r="B311" s="7" t="s">
        <v>23</v>
      </c>
      <c r="C311" s="8" t="str">
        <f>Gia_Tbi!C7</f>
        <v>cái</v>
      </c>
      <c r="D311" s="8">
        <f>Gia_Tbi!D7</f>
        <v>1.5</v>
      </c>
      <c r="E311" s="8">
        <f>Gia_Tbi!E7</f>
        <v>8</v>
      </c>
      <c r="F311" s="104">
        <f>Gia_Tbi!F7</f>
        <v>44000000</v>
      </c>
      <c r="G311" s="105">
        <f>Gia_Tbi!G7</f>
        <v>11000</v>
      </c>
      <c r="H311" s="203">
        <v>0.03</v>
      </c>
      <c r="I311" s="106">
        <f>G311*H311</f>
        <v>330</v>
      </c>
      <c r="K311" s="99">
        <v>307</v>
      </c>
    </row>
    <row r="312" spans="1:11">
      <c r="A312" s="57">
        <v>5</v>
      </c>
      <c r="B312" s="58" t="s">
        <v>8</v>
      </c>
      <c r="C312" s="59" t="str">
        <f>Gia_Tbi!C10</f>
        <v>Cái</v>
      </c>
      <c r="D312" s="59">
        <f>Gia_Tbi!D10</f>
        <v>1</v>
      </c>
      <c r="E312" s="140">
        <f>Gia_Tbi!E10</f>
        <v>10</v>
      </c>
      <c r="F312" s="108">
        <f>Gia_Tbi!F10</f>
        <v>80000000</v>
      </c>
      <c r="G312" s="109">
        <f>Gia_Tbi!G10</f>
        <v>16000</v>
      </c>
      <c r="H312" s="197">
        <f>(H308*D308+H309*D309+H310*D310+H311*D311)*8</f>
        <v>13.751999999999999</v>
      </c>
      <c r="I312" s="144">
        <f>G312*H312*E312</f>
        <v>2200319.9999999995</v>
      </c>
      <c r="K312" s="99">
        <v>308</v>
      </c>
    </row>
    <row r="313" spans="1:11" s="103" customFormat="1">
      <c r="A313" s="44" t="e">
        <f>#REF!</f>
        <v>#REF!</v>
      </c>
      <c r="B313" s="45" t="e">
        <f>#REF!</f>
        <v>#REF!</v>
      </c>
      <c r="C313" s="20"/>
      <c r="D313" s="20"/>
      <c r="E313" s="20"/>
      <c r="F313" s="100"/>
      <c r="G313" s="101"/>
      <c r="H313" s="133"/>
      <c r="I313" s="102">
        <f>SUM(I314:I317)</f>
        <v>311360</v>
      </c>
      <c r="K313" s="99">
        <v>309</v>
      </c>
    </row>
    <row r="314" spans="1:11">
      <c r="A314" s="15">
        <v>1</v>
      </c>
      <c r="B314" s="7" t="s">
        <v>73</v>
      </c>
      <c r="C314" s="8" t="str">
        <f>Gia_Tbi!C4</f>
        <v>cái</v>
      </c>
      <c r="D314" s="8">
        <f>Gia_Tbi!D4</f>
        <v>0.4</v>
      </c>
      <c r="E314" s="8">
        <f>Gia_Tbi!E4</f>
        <v>5</v>
      </c>
      <c r="F314" s="104">
        <f>Gia_Tbi!F4</f>
        <v>10000000</v>
      </c>
      <c r="G314" s="105">
        <f>Gia_Tbi!G4</f>
        <v>4000</v>
      </c>
      <c r="H314" s="203">
        <v>60</v>
      </c>
      <c r="I314" s="106">
        <f>G314*H314</f>
        <v>240000</v>
      </c>
      <c r="K314" s="99">
        <v>310</v>
      </c>
    </row>
    <row r="315" spans="1:11">
      <c r="A315" s="15">
        <v>2</v>
      </c>
      <c r="B315" s="7" t="s">
        <v>74</v>
      </c>
      <c r="C315" s="8" t="str">
        <f>Gia_Tbi!C5</f>
        <v>cái</v>
      </c>
      <c r="D315" s="8">
        <f>Gia_Tbi!D5</f>
        <v>0.6</v>
      </c>
      <c r="E315" s="8">
        <f>Gia_Tbi!E5</f>
        <v>5</v>
      </c>
      <c r="F315" s="104">
        <f>Gia_Tbi!F5</f>
        <v>2500000</v>
      </c>
      <c r="G315" s="105">
        <f>Gia_Tbi!G5</f>
        <v>1000</v>
      </c>
      <c r="H315" s="203">
        <v>4.5999999999999996</v>
      </c>
      <c r="I315" s="106">
        <f>G315*H315</f>
        <v>4600</v>
      </c>
      <c r="K315" s="99">
        <v>311</v>
      </c>
    </row>
    <row r="316" spans="1:11">
      <c r="A316" s="15">
        <v>3</v>
      </c>
      <c r="B316" s="7" t="s">
        <v>24</v>
      </c>
      <c r="C316" s="8" t="str">
        <f>Gia_Tbi!C6</f>
        <v>cái</v>
      </c>
      <c r="D316" s="8">
        <f>Gia_Tbi!D6</f>
        <v>2.2000000000000002</v>
      </c>
      <c r="E316" s="8">
        <f>Gia_Tbi!E6</f>
        <v>8</v>
      </c>
      <c r="F316" s="104">
        <f>Gia_Tbi!F6</f>
        <v>12000000</v>
      </c>
      <c r="G316" s="105">
        <f>Gia_Tbi!G6</f>
        <v>3000</v>
      </c>
      <c r="H316" s="203">
        <v>6.67</v>
      </c>
      <c r="I316" s="106">
        <f>G316*H316</f>
        <v>20010</v>
      </c>
      <c r="K316" s="99">
        <v>312</v>
      </c>
    </row>
    <row r="317" spans="1:11">
      <c r="A317" s="15">
        <v>4</v>
      </c>
      <c r="B317" s="7" t="s">
        <v>23</v>
      </c>
      <c r="C317" s="8" t="str">
        <f>Gia_Tbi!C7</f>
        <v>cái</v>
      </c>
      <c r="D317" s="8">
        <f>Gia_Tbi!D7</f>
        <v>1.5</v>
      </c>
      <c r="E317" s="8">
        <f>Gia_Tbi!E7</f>
        <v>8</v>
      </c>
      <c r="F317" s="104">
        <f>Gia_Tbi!F7</f>
        <v>44000000</v>
      </c>
      <c r="G317" s="105">
        <f>Gia_Tbi!G7</f>
        <v>11000</v>
      </c>
      <c r="H317" s="203">
        <v>4.25</v>
      </c>
      <c r="I317" s="106">
        <f>G317*H317</f>
        <v>46750</v>
      </c>
      <c r="K317" s="99">
        <v>313</v>
      </c>
    </row>
    <row r="318" spans="1:11">
      <c r="A318" s="57">
        <v>5</v>
      </c>
      <c r="B318" s="58" t="s">
        <v>8</v>
      </c>
      <c r="C318" s="59" t="str">
        <f>Gia_Tbi!C10</f>
        <v>Cái</v>
      </c>
      <c r="D318" s="59">
        <f>Gia_Tbi!D10</f>
        <v>1</v>
      </c>
      <c r="E318" s="140">
        <f>Gia_Tbi!E10</f>
        <v>10</v>
      </c>
      <c r="F318" s="108">
        <f>Gia_Tbi!F10</f>
        <v>80000000</v>
      </c>
      <c r="G318" s="109">
        <f>Gia_Tbi!G10</f>
        <v>16000</v>
      </c>
      <c r="H318" s="197">
        <f>(H314*D314+H315*D315+H316*D316+H317*D317)*8</f>
        <v>382.47199999999998</v>
      </c>
      <c r="I318" s="144">
        <f>G318*H318*E318</f>
        <v>61195520</v>
      </c>
      <c r="K318" s="99">
        <v>314</v>
      </c>
    </row>
    <row r="319" spans="1:11" s="6" customFormat="1">
      <c r="A319" s="14" t="e">
        <f>#REF!</f>
        <v>#REF!</v>
      </c>
      <c r="B319" s="10" t="e">
        <f>#REF!</f>
        <v>#REF!</v>
      </c>
      <c r="C319" s="9"/>
      <c r="D319" s="9"/>
      <c r="E319" s="9"/>
      <c r="F319" s="115"/>
      <c r="G319" s="116"/>
      <c r="H319" s="199"/>
      <c r="I319" s="117"/>
      <c r="K319" s="99">
        <v>315</v>
      </c>
    </row>
    <row r="320" spans="1:11" s="103" customFormat="1">
      <c r="A320" s="44" t="e">
        <f>#REF!</f>
        <v>#REF!</v>
      </c>
      <c r="B320" s="45" t="e">
        <f>#REF!</f>
        <v>#REF!</v>
      </c>
      <c r="C320" s="20"/>
      <c r="D320" s="20"/>
      <c r="E320" s="20"/>
      <c r="F320" s="100"/>
      <c r="G320" s="101"/>
      <c r="H320" s="133"/>
      <c r="I320" s="102"/>
      <c r="K320" s="99">
        <v>316</v>
      </c>
    </row>
    <row r="321" spans="1:11" s="103" customFormat="1">
      <c r="A321" s="44" t="e">
        <f>#REF!</f>
        <v>#REF!</v>
      </c>
      <c r="B321" s="45" t="e">
        <f>#REF!</f>
        <v>#REF!</v>
      </c>
      <c r="C321" s="20"/>
      <c r="D321" s="20"/>
      <c r="E321" s="20"/>
      <c r="F321" s="100"/>
      <c r="G321" s="101"/>
      <c r="H321" s="133"/>
      <c r="I321" s="102"/>
      <c r="K321" s="99">
        <v>317</v>
      </c>
    </row>
    <row r="322" spans="1:11" s="6" customFormat="1">
      <c r="A322" s="14" t="e">
        <f>#REF!</f>
        <v>#REF!</v>
      </c>
      <c r="B322" s="10" t="e">
        <f>#REF!</f>
        <v>#REF!</v>
      </c>
      <c r="C322" s="9"/>
      <c r="D322" s="9"/>
      <c r="E322" s="9"/>
      <c r="F322" s="115"/>
      <c r="G322" s="116"/>
      <c r="H322" s="199"/>
      <c r="I322" s="117"/>
      <c r="K322" s="99">
        <v>318</v>
      </c>
    </row>
    <row r="323" spans="1:11" s="103" customFormat="1">
      <c r="A323" s="44" t="e">
        <f>#REF!</f>
        <v>#REF!</v>
      </c>
      <c r="B323" s="45" t="e">
        <f>#REF!</f>
        <v>#REF!</v>
      </c>
      <c r="C323" s="20"/>
      <c r="D323" s="20"/>
      <c r="E323" s="20"/>
      <c r="F323" s="100"/>
      <c r="G323" s="101"/>
      <c r="H323" s="133"/>
      <c r="I323" s="102">
        <f>SUM(I324:I327)</f>
        <v>81300</v>
      </c>
      <c r="K323" s="99">
        <v>319</v>
      </c>
    </row>
    <row r="324" spans="1:11">
      <c r="A324" s="15">
        <v>1</v>
      </c>
      <c r="B324" s="7" t="s">
        <v>73</v>
      </c>
      <c r="C324" s="8" t="str">
        <f>Gia_Tbi!C4</f>
        <v>cái</v>
      </c>
      <c r="D324" s="8">
        <f>Gia_Tbi!D4</f>
        <v>0.4</v>
      </c>
      <c r="E324" s="8">
        <f>Gia_Tbi!E4</f>
        <v>5</v>
      </c>
      <c r="F324" s="104">
        <f>Gia_Tbi!F4</f>
        <v>10000000</v>
      </c>
      <c r="G324" s="105">
        <f>Gia_Tbi!G4</f>
        <v>4000</v>
      </c>
      <c r="H324" s="203">
        <v>15</v>
      </c>
      <c r="I324" s="106">
        <f>G324*H324</f>
        <v>60000</v>
      </c>
      <c r="K324" s="99">
        <v>320</v>
      </c>
    </row>
    <row r="325" spans="1:11">
      <c r="A325" s="15">
        <v>2</v>
      </c>
      <c r="B325" s="7" t="s">
        <v>74</v>
      </c>
      <c r="C325" s="8" t="str">
        <f>Gia_Tbi!C5</f>
        <v>cái</v>
      </c>
      <c r="D325" s="8">
        <f>Gia_Tbi!D5</f>
        <v>0.6</v>
      </c>
      <c r="E325" s="8">
        <f>Gia_Tbi!E5</f>
        <v>5</v>
      </c>
      <c r="F325" s="104">
        <f>Gia_Tbi!F5</f>
        <v>2500000</v>
      </c>
      <c r="G325" s="105">
        <f>Gia_Tbi!G5</f>
        <v>1000</v>
      </c>
      <c r="H325" s="203">
        <v>0.8</v>
      </c>
      <c r="I325" s="106">
        <f>G325*H325</f>
        <v>800</v>
      </c>
      <c r="K325" s="99">
        <v>321</v>
      </c>
    </row>
    <row r="326" spans="1:11">
      <c r="A326" s="15">
        <v>3</v>
      </c>
      <c r="B326" s="7" t="s">
        <v>24</v>
      </c>
      <c r="C326" s="8" t="str">
        <f>Gia_Tbi!C6</f>
        <v>cái</v>
      </c>
      <c r="D326" s="8">
        <f>Gia_Tbi!D6</f>
        <v>2.2000000000000002</v>
      </c>
      <c r="E326" s="8">
        <f>Gia_Tbi!E6</f>
        <v>8</v>
      </c>
      <c r="F326" s="104">
        <f>Gia_Tbi!F6</f>
        <v>12000000</v>
      </c>
      <c r="G326" s="105">
        <f>Gia_Tbi!G6</f>
        <v>3000</v>
      </c>
      <c r="H326" s="203">
        <v>5</v>
      </c>
      <c r="I326" s="106">
        <f>G326*H326</f>
        <v>15000</v>
      </c>
      <c r="K326" s="99">
        <v>322</v>
      </c>
    </row>
    <row r="327" spans="1:11">
      <c r="A327" s="15">
        <v>4</v>
      </c>
      <c r="B327" s="7" t="s">
        <v>23</v>
      </c>
      <c r="C327" s="8" t="str">
        <f>Gia_Tbi!C7</f>
        <v>cái</v>
      </c>
      <c r="D327" s="8">
        <f>Gia_Tbi!D7</f>
        <v>1.5</v>
      </c>
      <c r="E327" s="8">
        <f>Gia_Tbi!E7</f>
        <v>8</v>
      </c>
      <c r="F327" s="104">
        <f>Gia_Tbi!F7</f>
        <v>44000000</v>
      </c>
      <c r="G327" s="105">
        <f>Gia_Tbi!G7</f>
        <v>11000</v>
      </c>
      <c r="H327" s="203">
        <v>0.5</v>
      </c>
      <c r="I327" s="106">
        <f>G327*H327</f>
        <v>5500</v>
      </c>
      <c r="K327" s="99">
        <v>323</v>
      </c>
    </row>
    <row r="328" spans="1:11">
      <c r="A328" s="57">
        <v>5</v>
      </c>
      <c r="B328" s="58" t="s">
        <v>8</v>
      </c>
      <c r="C328" s="59" t="str">
        <f>Gia_Tbi!C10</f>
        <v>Cái</v>
      </c>
      <c r="D328" s="59">
        <f>Gia_Tbi!D10</f>
        <v>1</v>
      </c>
      <c r="E328" s="140">
        <f>Gia_Tbi!E10</f>
        <v>10</v>
      </c>
      <c r="F328" s="108">
        <f>Gia_Tbi!F10</f>
        <v>80000000</v>
      </c>
      <c r="G328" s="109">
        <f>Gia_Tbi!G10</f>
        <v>16000</v>
      </c>
      <c r="H328" s="197">
        <f>(H324*D324+H325*D325+H326*D326+H327*D327)*8</f>
        <v>145.84</v>
      </c>
      <c r="I328" s="144">
        <f>G328*H328*E328</f>
        <v>23334400</v>
      </c>
      <c r="K328" s="99">
        <v>324</v>
      </c>
    </row>
    <row r="329" spans="1:11" s="103" customFormat="1">
      <c r="A329" s="44" t="e">
        <f>#REF!</f>
        <v>#REF!</v>
      </c>
      <c r="B329" s="45" t="e">
        <f>#REF!</f>
        <v>#REF!</v>
      </c>
      <c r="C329" s="20"/>
      <c r="D329" s="20"/>
      <c r="E329" s="20"/>
      <c r="F329" s="100"/>
      <c r="G329" s="101"/>
      <c r="H329" s="133"/>
      <c r="I329" s="102">
        <f>SUM(I330:I333)</f>
        <v>53690</v>
      </c>
      <c r="K329" s="99">
        <v>325</v>
      </c>
    </row>
    <row r="330" spans="1:11">
      <c r="A330" s="15">
        <v>1</v>
      </c>
      <c r="B330" s="7" t="s">
        <v>73</v>
      </c>
      <c r="C330" s="8" t="str">
        <f>Gia_Tbi!C4</f>
        <v>cái</v>
      </c>
      <c r="D330" s="8">
        <f>Gia_Tbi!D4</f>
        <v>0.4</v>
      </c>
      <c r="E330" s="8">
        <f>Gia_Tbi!E4</f>
        <v>5</v>
      </c>
      <c r="F330" s="104">
        <f>Gia_Tbi!F4</f>
        <v>10000000</v>
      </c>
      <c r="G330" s="105">
        <f>Gia_Tbi!G4</f>
        <v>4000</v>
      </c>
      <c r="H330" s="203">
        <v>10</v>
      </c>
      <c r="I330" s="106">
        <f>G330*H330</f>
        <v>40000</v>
      </c>
      <c r="K330" s="99">
        <v>326</v>
      </c>
    </row>
    <row r="331" spans="1:11">
      <c r="A331" s="15">
        <v>2</v>
      </c>
      <c r="B331" s="7" t="s">
        <v>74</v>
      </c>
      <c r="C331" s="8" t="str">
        <f>Gia_Tbi!C5</f>
        <v>cái</v>
      </c>
      <c r="D331" s="8">
        <f>Gia_Tbi!D5</f>
        <v>0.6</v>
      </c>
      <c r="E331" s="8">
        <f>Gia_Tbi!E5</f>
        <v>5</v>
      </c>
      <c r="F331" s="104">
        <f>Gia_Tbi!F5</f>
        <v>2500000</v>
      </c>
      <c r="G331" s="105">
        <f>Gia_Tbi!G5</f>
        <v>1000</v>
      </c>
      <c r="H331" s="203">
        <v>0.4</v>
      </c>
      <c r="I331" s="106">
        <f>G331*H331</f>
        <v>400</v>
      </c>
      <c r="K331" s="99">
        <v>327</v>
      </c>
    </row>
    <row r="332" spans="1:11">
      <c r="A332" s="15">
        <v>3</v>
      </c>
      <c r="B332" s="7" t="s">
        <v>24</v>
      </c>
      <c r="C332" s="8" t="str">
        <f>Gia_Tbi!C6</f>
        <v>cái</v>
      </c>
      <c r="D332" s="8">
        <f>Gia_Tbi!D6</f>
        <v>2.2000000000000002</v>
      </c>
      <c r="E332" s="8">
        <f>Gia_Tbi!E6</f>
        <v>8</v>
      </c>
      <c r="F332" s="104">
        <f>Gia_Tbi!F6</f>
        <v>12000000</v>
      </c>
      <c r="G332" s="105">
        <f>Gia_Tbi!G6</f>
        <v>3000</v>
      </c>
      <c r="H332" s="203">
        <v>3.33</v>
      </c>
      <c r="I332" s="106">
        <f>G332*H332</f>
        <v>9990</v>
      </c>
      <c r="K332" s="99">
        <v>328</v>
      </c>
    </row>
    <row r="333" spans="1:11">
      <c r="A333" s="15">
        <v>4</v>
      </c>
      <c r="B333" s="7" t="s">
        <v>23</v>
      </c>
      <c r="C333" s="8" t="str">
        <f>Gia_Tbi!C7</f>
        <v>cái</v>
      </c>
      <c r="D333" s="8">
        <f>Gia_Tbi!D7</f>
        <v>1.5</v>
      </c>
      <c r="E333" s="8">
        <f>Gia_Tbi!E7</f>
        <v>8</v>
      </c>
      <c r="F333" s="104">
        <f>Gia_Tbi!F7</f>
        <v>44000000</v>
      </c>
      <c r="G333" s="105">
        <f>Gia_Tbi!G7</f>
        <v>11000</v>
      </c>
      <c r="H333" s="203">
        <v>0.3</v>
      </c>
      <c r="I333" s="106">
        <f>G333*H333</f>
        <v>3300</v>
      </c>
      <c r="K333" s="99">
        <v>329</v>
      </c>
    </row>
    <row r="334" spans="1:11">
      <c r="A334" s="57">
        <v>5</v>
      </c>
      <c r="B334" s="58" t="s">
        <v>8</v>
      </c>
      <c r="C334" s="59" t="str">
        <f>Gia_Tbi!C10</f>
        <v>Cái</v>
      </c>
      <c r="D334" s="59">
        <f>Gia_Tbi!D10</f>
        <v>1</v>
      </c>
      <c r="E334" s="140">
        <f>Gia_Tbi!E10</f>
        <v>10</v>
      </c>
      <c r="F334" s="108">
        <f>Gia_Tbi!F10</f>
        <v>80000000</v>
      </c>
      <c r="G334" s="109">
        <f>Gia_Tbi!G10</f>
        <v>16000</v>
      </c>
      <c r="H334" s="197">
        <f>(H330*D330+H331*D331+H332*D332+H333*D333)*8</f>
        <v>96.128</v>
      </c>
      <c r="I334" s="144">
        <f>G334*H334*E334</f>
        <v>15380480</v>
      </c>
      <c r="K334" s="99">
        <v>330</v>
      </c>
    </row>
    <row r="335" spans="1:11" s="103" customFormat="1">
      <c r="A335" s="44" t="e">
        <f>#REF!</f>
        <v>#REF!</v>
      </c>
      <c r="B335" s="45" t="e">
        <f>#REF!</f>
        <v>#REF!</v>
      </c>
      <c r="C335" s="20"/>
      <c r="D335" s="20"/>
      <c r="E335" s="20"/>
      <c r="F335" s="100"/>
      <c r="G335" s="101"/>
      <c r="H335" s="133"/>
      <c r="I335" s="102"/>
      <c r="K335" s="99">
        <v>331</v>
      </c>
    </row>
    <row r="336" spans="1:11">
      <c r="A336" s="15" t="e">
        <f>#REF!</f>
        <v>#REF!</v>
      </c>
      <c r="B336" s="7" t="e">
        <f>#REF!</f>
        <v>#REF!</v>
      </c>
      <c r="C336" s="8"/>
      <c r="D336" s="8"/>
      <c r="E336" s="8"/>
      <c r="F336" s="104"/>
      <c r="G336" s="105"/>
      <c r="H336" s="196"/>
      <c r="I336" s="102">
        <f>SUM(I337:I340)</f>
        <v>235850</v>
      </c>
      <c r="K336" s="99">
        <v>332</v>
      </c>
    </row>
    <row r="337" spans="1:11">
      <c r="A337" s="15">
        <v>1</v>
      </c>
      <c r="B337" s="7" t="s">
        <v>73</v>
      </c>
      <c r="C337" s="8" t="str">
        <f>Gia_Tbi!C4</f>
        <v>cái</v>
      </c>
      <c r="D337" s="8">
        <f>Gia_Tbi!D4</f>
        <v>0.4</v>
      </c>
      <c r="E337" s="8">
        <f>Gia_Tbi!E4</f>
        <v>5</v>
      </c>
      <c r="F337" s="104">
        <f>Gia_Tbi!F4</f>
        <v>10000000</v>
      </c>
      <c r="G337" s="105">
        <f>Gia_Tbi!G4</f>
        <v>4000</v>
      </c>
      <c r="H337" s="203">
        <v>45</v>
      </c>
      <c r="I337" s="106">
        <f>G337*H337</f>
        <v>180000</v>
      </c>
      <c r="K337" s="99">
        <v>333</v>
      </c>
    </row>
    <row r="338" spans="1:11">
      <c r="A338" s="15">
        <v>2</v>
      </c>
      <c r="B338" s="7" t="s">
        <v>74</v>
      </c>
      <c r="C338" s="8" t="str">
        <f>Gia_Tbi!C5</f>
        <v>cái</v>
      </c>
      <c r="D338" s="8">
        <f>Gia_Tbi!D5</f>
        <v>0.6</v>
      </c>
      <c r="E338" s="8">
        <f>Gia_Tbi!E5</f>
        <v>5</v>
      </c>
      <c r="F338" s="104">
        <f>Gia_Tbi!F5</f>
        <v>2500000</v>
      </c>
      <c r="G338" s="105">
        <f>Gia_Tbi!G5</f>
        <v>1000</v>
      </c>
      <c r="H338" s="203">
        <v>1.5</v>
      </c>
      <c r="I338" s="106">
        <f>G338*H338</f>
        <v>1500</v>
      </c>
      <c r="K338" s="99">
        <v>334</v>
      </c>
    </row>
    <row r="339" spans="1:11">
      <c r="A339" s="15">
        <v>3</v>
      </c>
      <c r="B339" s="7" t="s">
        <v>24</v>
      </c>
      <c r="C339" s="8" t="str">
        <f>Gia_Tbi!C6</f>
        <v>cái</v>
      </c>
      <c r="D339" s="8">
        <f>Gia_Tbi!D6</f>
        <v>2.2000000000000002</v>
      </c>
      <c r="E339" s="8">
        <f>Gia_Tbi!E6</f>
        <v>8</v>
      </c>
      <c r="F339" s="104">
        <f>Gia_Tbi!F6</f>
        <v>12000000</v>
      </c>
      <c r="G339" s="105">
        <f>Gia_Tbi!G6</f>
        <v>3000</v>
      </c>
      <c r="H339" s="203">
        <v>15</v>
      </c>
      <c r="I339" s="106">
        <f>G339*H339</f>
        <v>45000</v>
      </c>
      <c r="K339" s="99">
        <v>335</v>
      </c>
    </row>
    <row r="340" spans="1:11">
      <c r="A340" s="15">
        <v>4</v>
      </c>
      <c r="B340" s="7" t="s">
        <v>23</v>
      </c>
      <c r="C340" s="8" t="str">
        <f>Gia_Tbi!C7</f>
        <v>cái</v>
      </c>
      <c r="D340" s="8">
        <f>Gia_Tbi!D7</f>
        <v>1.5</v>
      </c>
      <c r="E340" s="8">
        <f>Gia_Tbi!E7</f>
        <v>8</v>
      </c>
      <c r="F340" s="104">
        <f>Gia_Tbi!F7</f>
        <v>44000000</v>
      </c>
      <c r="G340" s="105">
        <f>Gia_Tbi!G7</f>
        <v>11000</v>
      </c>
      <c r="H340" s="203">
        <v>0.85</v>
      </c>
      <c r="I340" s="106">
        <f>G340*H340</f>
        <v>9350</v>
      </c>
      <c r="K340" s="99">
        <v>336</v>
      </c>
    </row>
    <row r="341" spans="1:11">
      <c r="A341" s="57">
        <v>5</v>
      </c>
      <c r="B341" s="58" t="s">
        <v>8</v>
      </c>
      <c r="C341" s="59" t="str">
        <f>Gia_Tbi!C10</f>
        <v>Cái</v>
      </c>
      <c r="D341" s="59">
        <f>Gia_Tbi!D10</f>
        <v>1</v>
      </c>
      <c r="E341" s="140">
        <f>Gia_Tbi!E10</f>
        <v>10</v>
      </c>
      <c r="F341" s="108">
        <f>Gia_Tbi!F10</f>
        <v>80000000</v>
      </c>
      <c r="G341" s="109">
        <f>Gia_Tbi!G10</f>
        <v>16000</v>
      </c>
      <c r="H341" s="197">
        <f>(H337*D337+H338*D338+H339*D339+H340*D340)*8</f>
        <v>425.4</v>
      </c>
      <c r="I341" s="144">
        <f>G341*H341*E341</f>
        <v>68064000</v>
      </c>
      <c r="K341" s="99">
        <v>337</v>
      </c>
    </row>
    <row r="342" spans="1:11">
      <c r="A342" s="15" t="e">
        <f>#REF!</f>
        <v>#REF!</v>
      </c>
      <c r="B342" s="7" t="e">
        <f>#REF!</f>
        <v>#REF!</v>
      </c>
      <c r="C342" s="8"/>
      <c r="D342" s="8"/>
      <c r="E342" s="8"/>
      <c r="F342" s="104"/>
      <c r="G342" s="105"/>
      <c r="H342" s="196"/>
      <c r="I342" s="102">
        <f>SUM(I343:I346)</f>
        <v>3521</v>
      </c>
      <c r="K342" s="99">
        <v>338</v>
      </c>
    </row>
    <row r="343" spans="1:11">
      <c r="A343" s="15">
        <v>1</v>
      </c>
      <c r="B343" s="7" t="s">
        <v>73</v>
      </c>
      <c r="C343" s="8" t="str">
        <f>Gia_Tbi!C4</f>
        <v>cái</v>
      </c>
      <c r="D343" s="8">
        <f>Gia_Tbi!D4</f>
        <v>0.4</v>
      </c>
      <c r="E343" s="8">
        <f>Gia_Tbi!E4</f>
        <v>5</v>
      </c>
      <c r="F343" s="104">
        <f>Gia_Tbi!F4</f>
        <v>10000000</v>
      </c>
      <c r="G343" s="105">
        <f>Gia_Tbi!G4</f>
        <v>4000</v>
      </c>
      <c r="H343" s="203">
        <v>0.68</v>
      </c>
      <c r="I343" s="106">
        <f>G343*H343</f>
        <v>2720</v>
      </c>
      <c r="K343" s="99">
        <v>339</v>
      </c>
    </row>
    <row r="344" spans="1:11">
      <c r="A344" s="15">
        <v>2</v>
      </c>
      <c r="B344" s="7" t="s">
        <v>74</v>
      </c>
      <c r="C344" s="8" t="str">
        <f>Gia_Tbi!C5</f>
        <v>cái</v>
      </c>
      <c r="D344" s="8">
        <f>Gia_Tbi!D5</f>
        <v>0.6</v>
      </c>
      <c r="E344" s="8">
        <f>Gia_Tbi!E5</f>
        <v>5</v>
      </c>
      <c r="F344" s="104">
        <f>Gia_Tbi!F5</f>
        <v>2500000</v>
      </c>
      <c r="G344" s="105">
        <f>Gia_Tbi!G5</f>
        <v>1000</v>
      </c>
      <c r="H344" s="203">
        <v>0.01</v>
      </c>
      <c r="I344" s="106">
        <f>G344*H344</f>
        <v>10</v>
      </c>
      <c r="K344" s="99">
        <v>340</v>
      </c>
    </row>
    <row r="345" spans="1:11">
      <c r="A345" s="15">
        <v>3</v>
      </c>
      <c r="B345" s="7" t="s">
        <v>24</v>
      </c>
      <c r="C345" s="8" t="str">
        <f>Gia_Tbi!C6</f>
        <v>cái</v>
      </c>
      <c r="D345" s="8">
        <f>Gia_Tbi!D6</f>
        <v>2.2000000000000002</v>
      </c>
      <c r="E345" s="8">
        <f>Gia_Tbi!E6</f>
        <v>8</v>
      </c>
      <c r="F345" s="104">
        <f>Gia_Tbi!F6</f>
        <v>12000000</v>
      </c>
      <c r="G345" s="105">
        <f>Gia_Tbi!G6</f>
        <v>3000</v>
      </c>
      <c r="H345" s="203">
        <v>0.22700000000000001</v>
      </c>
      <c r="I345" s="106">
        <f>G345*H345</f>
        <v>681</v>
      </c>
      <c r="K345" s="99">
        <v>341</v>
      </c>
    </row>
    <row r="346" spans="1:11">
      <c r="A346" s="15">
        <v>4</v>
      </c>
      <c r="B346" s="7" t="s">
        <v>23</v>
      </c>
      <c r="C346" s="8" t="str">
        <f>Gia_Tbi!C7</f>
        <v>cái</v>
      </c>
      <c r="D346" s="8">
        <f>Gia_Tbi!D7</f>
        <v>1.5</v>
      </c>
      <c r="E346" s="8">
        <f>Gia_Tbi!E7</f>
        <v>8</v>
      </c>
      <c r="F346" s="104">
        <f>Gia_Tbi!F7</f>
        <v>44000000</v>
      </c>
      <c r="G346" s="105">
        <f>Gia_Tbi!G7</f>
        <v>11000</v>
      </c>
      <c r="H346" s="203">
        <v>0.01</v>
      </c>
      <c r="I346" s="106">
        <f>G346*H346</f>
        <v>110</v>
      </c>
      <c r="K346" s="99">
        <v>342</v>
      </c>
    </row>
    <row r="347" spans="1:11">
      <c r="A347" s="57">
        <v>5</v>
      </c>
      <c r="B347" s="58" t="s">
        <v>8</v>
      </c>
      <c r="C347" s="59" t="str">
        <f>Gia_Tbi!C10</f>
        <v>Cái</v>
      </c>
      <c r="D347" s="59">
        <f>Gia_Tbi!D10</f>
        <v>1</v>
      </c>
      <c r="E347" s="140">
        <f>Gia_Tbi!E10</f>
        <v>10</v>
      </c>
      <c r="F347" s="108">
        <f>Gia_Tbi!F10</f>
        <v>80000000</v>
      </c>
      <c r="G347" s="109">
        <f>Gia_Tbi!G10</f>
        <v>16000</v>
      </c>
      <c r="H347" s="197">
        <f>(H343*D343+H344*D344+H345*D345+H346*D346)*8</f>
        <v>6.3392000000000008</v>
      </c>
      <c r="I347" s="144">
        <f>G347*H347*E347</f>
        <v>1014272.0000000001</v>
      </c>
      <c r="K347" s="99">
        <v>343</v>
      </c>
    </row>
    <row r="348" spans="1:11" s="103" customFormat="1">
      <c r="A348" s="44" t="e">
        <f>#REF!</f>
        <v>#REF!</v>
      </c>
      <c r="B348" s="45" t="e">
        <f>#REF!</f>
        <v>#REF!</v>
      </c>
      <c r="C348" s="20"/>
      <c r="D348" s="20"/>
      <c r="E348" s="20"/>
      <c r="F348" s="100"/>
      <c r="G348" s="101"/>
      <c r="H348" s="133"/>
      <c r="I348" s="102"/>
      <c r="K348" s="99">
        <v>344</v>
      </c>
    </row>
    <row r="349" spans="1:11">
      <c r="A349" s="15" t="e">
        <f>#REF!</f>
        <v>#REF!</v>
      </c>
      <c r="B349" s="7" t="e">
        <f>#REF!</f>
        <v>#REF!</v>
      </c>
      <c r="C349" s="8"/>
      <c r="D349" s="8"/>
      <c r="E349" s="8"/>
      <c r="F349" s="104"/>
      <c r="G349" s="105"/>
      <c r="H349" s="196"/>
      <c r="I349" s="106"/>
      <c r="K349" s="99">
        <v>345</v>
      </c>
    </row>
    <row r="350" spans="1:11" s="11" customFormat="1" ht="41.25" customHeight="1">
      <c r="A350" s="29" t="e">
        <f>#REF!</f>
        <v>#REF!</v>
      </c>
      <c r="B350" s="2034" t="e">
        <f>#REF!</f>
        <v>#REF!</v>
      </c>
      <c r="C350" s="2035"/>
      <c r="D350" s="2035"/>
      <c r="E350" s="2035"/>
      <c r="F350" s="2035"/>
      <c r="G350" s="2035"/>
      <c r="H350" s="2035"/>
      <c r="I350" s="2036"/>
      <c r="K350" s="99">
        <v>346</v>
      </c>
    </row>
    <row r="351" spans="1:11" s="103" customFormat="1">
      <c r="A351" s="44" t="e">
        <f>#REF!</f>
        <v>#REF!</v>
      </c>
      <c r="B351" s="45" t="e">
        <f>#REF!</f>
        <v>#REF!</v>
      </c>
      <c r="C351" s="20"/>
      <c r="D351" s="20"/>
      <c r="E351" s="20"/>
      <c r="F351" s="100"/>
      <c r="G351" s="101"/>
      <c r="H351" s="133"/>
      <c r="I351" s="102">
        <f>SUM(I352:I355)</f>
        <v>32000</v>
      </c>
      <c r="K351" s="99">
        <v>347</v>
      </c>
    </row>
    <row r="352" spans="1:11">
      <c r="A352" s="15">
        <v>1</v>
      </c>
      <c r="B352" s="7" t="s">
        <v>73</v>
      </c>
      <c r="C352" s="8" t="str">
        <f>Gia_Tbi!C4</f>
        <v>cái</v>
      </c>
      <c r="D352" s="8">
        <f>Gia_Tbi!D4</f>
        <v>0.4</v>
      </c>
      <c r="E352" s="8">
        <f>Gia_Tbi!E4</f>
        <v>5</v>
      </c>
      <c r="F352" s="104">
        <f>Gia_Tbi!F4</f>
        <v>10000000</v>
      </c>
      <c r="G352" s="105">
        <f>Gia_Tbi!G4</f>
        <v>4000</v>
      </c>
      <c r="H352" s="203">
        <v>4</v>
      </c>
      <c r="I352" s="106">
        <f>G352*H352</f>
        <v>16000</v>
      </c>
      <c r="K352" s="99">
        <v>348</v>
      </c>
    </row>
    <row r="353" spans="1:11">
      <c r="A353" s="15">
        <v>2</v>
      </c>
      <c r="B353" s="7" t="s">
        <v>74</v>
      </c>
      <c r="C353" s="8" t="str">
        <f>Gia_Tbi!C5</f>
        <v>cái</v>
      </c>
      <c r="D353" s="8">
        <f>Gia_Tbi!D5</f>
        <v>0.6</v>
      </c>
      <c r="E353" s="8">
        <f>Gia_Tbi!E5</f>
        <v>5</v>
      </c>
      <c r="F353" s="104">
        <f>Gia_Tbi!F5</f>
        <v>2500000</v>
      </c>
      <c r="G353" s="105">
        <f>Gia_Tbi!G5</f>
        <v>1000</v>
      </c>
      <c r="H353" s="203">
        <v>0.5</v>
      </c>
      <c r="I353" s="106">
        <f>G353*H353</f>
        <v>500</v>
      </c>
      <c r="K353" s="99">
        <v>349</v>
      </c>
    </row>
    <row r="354" spans="1:11">
      <c r="A354" s="15">
        <v>3</v>
      </c>
      <c r="B354" s="7" t="s">
        <v>24</v>
      </c>
      <c r="C354" s="8" t="str">
        <f>Gia_Tbi!C6</f>
        <v>cái</v>
      </c>
      <c r="D354" s="8">
        <f>Gia_Tbi!D6</f>
        <v>2.2000000000000002</v>
      </c>
      <c r="E354" s="8">
        <f>Gia_Tbi!E6</f>
        <v>8</v>
      </c>
      <c r="F354" s="104">
        <f>Gia_Tbi!F6</f>
        <v>12000000</v>
      </c>
      <c r="G354" s="105">
        <f>Gia_Tbi!G6</f>
        <v>3000</v>
      </c>
      <c r="H354" s="203">
        <v>1.5</v>
      </c>
      <c r="I354" s="106">
        <f>G354*H354</f>
        <v>4500</v>
      </c>
      <c r="K354" s="99">
        <v>350</v>
      </c>
    </row>
    <row r="355" spans="1:11" hidden="1">
      <c r="A355" s="15">
        <v>4</v>
      </c>
      <c r="B355" s="7" t="s">
        <v>23</v>
      </c>
      <c r="C355" s="8" t="str">
        <f>Gia_Tbi!C7</f>
        <v>cái</v>
      </c>
      <c r="D355" s="8">
        <f>Gia_Tbi!D7</f>
        <v>1.5</v>
      </c>
      <c r="E355" s="8">
        <f>Gia_Tbi!E7</f>
        <v>8</v>
      </c>
      <c r="F355" s="104">
        <f>Gia_Tbi!F7</f>
        <v>44000000</v>
      </c>
      <c r="G355" s="105">
        <f>Gia_Tbi!G7</f>
        <v>11000</v>
      </c>
      <c r="H355" s="203">
        <v>1</v>
      </c>
      <c r="I355" s="106">
        <f>G355*H355</f>
        <v>11000</v>
      </c>
      <c r="K355" s="99">
        <v>351</v>
      </c>
    </row>
    <row r="356" spans="1:11">
      <c r="A356" s="57">
        <v>5</v>
      </c>
      <c r="B356" s="58" t="s">
        <v>8</v>
      </c>
      <c r="C356" s="59" t="str">
        <f>Gia_Tbi!C10</f>
        <v>Cái</v>
      </c>
      <c r="D356" s="59">
        <f>Gia_Tbi!D10</f>
        <v>1</v>
      </c>
      <c r="E356" s="140">
        <f>Gia_Tbi!E10</f>
        <v>10</v>
      </c>
      <c r="F356" s="108">
        <f>Gia_Tbi!F10</f>
        <v>80000000</v>
      </c>
      <c r="G356" s="109">
        <f>Gia_Tbi!G10</f>
        <v>16000</v>
      </c>
      <c r="H356" s="197">
        <f>(H352*D352+H353*D353+H354*D354+H355*D355)*8</f>
        <v>53.6</v>
      </c>
      <c r="I356" s="144">
        <f>G356*H356*E356</f>
        <v>8576000</v>
      </c>
      <c r="K356" s="99">
        <v>352</v>
      </c>
    </row>
    <row r="357" spans="1:11">
      <c r="A357" s="70">
        <v>2</v>
      </c>
      <c r="B357" s="71" t="s">
        <v>107</v>
      </c>
      <c r="C357" s="208"/>
      <c r="D357" s="208"/>
      <c r="E357" s="209"/>
      <c r="F357" s="210"/>
      <c r="G357" s="211"/>
      <c r="H357" s="212"/>
      <c r="I357" s="213"/>
      <c r="K357" s="99"/>
    </row>
    <row r="358" spans="1:11" s="103" customFormat="1">
      <c r="A358" s="70" t="s">
        <v>114</v>
      </c>
      <c r="B358" s="71" t="s">
        <v>63</v>
      </c>
      <c r="C358" s="20"/>
      <c r="D358" s="20"/>
      <c r="E358" s="20"/>
      <c r="F358" s="100"/>
      <c r="G358" s="101"/>
      <c r="H358" s="133">
        <v>1</v>
      </c>
      <c r="I358" s="102">
        <f>SUM(I359:I362)</f>
        <v>331060</v>
      </c>
      <c r="K358" s="99">
        <v>353</v>
      </c>
    </row>
    <row r="359" spans="1:11">
      <c r="A359" s="15">
        <v>1</v>
      </c>
      <c r="B359" s="7" t="s">
        <v>73</v>
      </c>
      <c r="C359" s="8" t="str">
        <f>Gia_Tbi!C4</f>
        <v>cái</v>
      </c>
      <c r="D359" s="8">
        <f>Gia_Tbi!D4</f>
        <v>0.4</v>
      </c>
      <c r="E359" s="8">
        <f>Gia_Tbi!E4</f>
        <v>5</v>
      </c>
      <c r="F359" s="104">
        <f>Gia_Tbi!F4</f>
        <v>10000000</v>
      </c>
      <c r="G359" s="105">
        <f>Gia_Tbi!G4</f>
        <v>4000</v>
      </c>
      <c r="H359" s="203">
        <v>72</v>
      </c>
      <c r="I359" s="106">
        <f>G359*H359</f>
        <v>288000</v>
      </c>
      <c r="K359" s="99">
        <v>354</v>
      </c>
    </row>
    <row r="360" spans="1:11">
      <c r="A360" s="15">
        <v>2</v>
      </c>
      <c r="B360" s="7" t="s">
        <v>74</v>
      </c>
      <c r="C360" s="8" t="str">
        <f>Gia_Tbi!C5</f>
        <v>cái</v>
      </c>
      <c r="D360" s="8">
        <f>Gia_Tbi!D5</f>
        <v>0.6</v>
      </c>
      <c r="E360" s="8">
        <f>Gia_Tbi!E5</f>
        <v>5</v>
      </c>
      <c r="F360" s="104">
        <f>Gia_Tbi!F5</f>
        <v>2500000</v>
      </c>
      <c r="G360" s="105">
        <f>Gia_Tbi!G5</f>
        <v>1000</v>
      </c>
      <c r="H360" s="203">
        <v>2.4</v>
      </c>
      <c r="I360" s="106">
        <f>G360*H360</f>
        <v>2400</v>
      </c>
      <c r="K360" s="99">
        <v>355</v>
      </c>
    </row>
    <row r="361" spans="1:11">
      <c r="A361" s="15">
        <v>3</v>
      </c>
      <c r="B361" s="7" t="s">
        <v>24</v>
      </c>
      <c r="C361" s="8" t="str">
        <f>Gia_Tbi!C6</f>
        <v>cái</v>
      </c>
      <c r="D361" s="8">
        <f>Gia_Tbi!D6</f>
        <v>2.2000000000000002</v>
      </c>
      <c r="E361" s="8">
        <f>Gia_Tbi!E6</f>
        <v>8</v>
      </c>
      <c r="F361" s="104">
        <f>Gia_Tbi!F6</f>
        <v>12000000</v>
      </c>
      <c r="G361" s="105">
        <f>Gia_Tbi!G6</f>
        <v>3000</v>
      </c>
      <c r="H361" s="203">
        <v>6</v>
      </c>
      <c r="I361" s="106">
        <f>G361*H361</f>
        <v>18000</v>
      </c>
      <c r="K361" s="99">
        <v>356</v>
      </c>
    </row>
    <row r="362" spans="1:11">
      <c r="A362" s="15">
        <v>4</v>
      </c>
      <c r="B362" s="7" t="s">
        <v>23</v>
      </c>
      <c r="C362" s="8" t="str">
        <f>Gia_Tbi!C7</f>
        <v>cái</v>
      </c>
      <c r="D362" s="8">
        <f>Gia_Tbi!D7</f>
        <v>1.5</v>
      </c>
      <c r="E362" s="8">
        <f>Gia_Tbi!E7</f>
        <v>8</v>
      </c>
      <c r="F362" s="104">
        <f>Gia_Tbi!F7</f>
        <v>44000000</v>
      </c>
      <c r="G362" s="105">
        <f>Gia_Tbi!G7</f>
        <v>11000</v>
      </c>
      <c r="H362" s="203">
        <v>2.06</v>
      </c>
      <c r="I362" s="106">
        <f>G362*H362</f>
        <v>22660</v>
      </c>
      <c r="K362" s="99">
        <v>357</v>
      </c>
    </row>
    <row r="363" spans="1:11">
      <c r="A363" s="57">
        <v>5</v>
      </c>
      <c r="B363" s="58" t="s">
        <v>8</v>
      </c>
      <c r="C363" s="59" t="str">
        <f>Gia_Tbi!C10</f>
        <v>Cái</v>
      </c>
      <c r="D363" s="59">
        <f>Gia_Tbi!D10</f>
        <v>1</v>
      </c>
      <c r="E363" s="140">
        <f>Gia_Tbi!E10</f>
        <v>10</v>
      </c>
      <c r="F363" s="108">
        <f>Gia_Tbi!F10</f>
        <v>80000000</v>
      </c>
      <c r="G363" s="109">
        <f>Gia_Tbi!G10</f>
        <v>16000</v>
      </c>
      <c r="H363" s="197">
        <f>(H359*D359+H360*D360+H361*D361+H362*D362)*8</f>
        <v>372.24</v>
      </c>
      <c r="I363" s="144">
        <f>G363*H363*E363</f>
        <v>59558400</v>
      </c>
      <c r="K363" s="99">
        <v>358</v>
      </c>
    </row>
    <row r="364" spans="1:11" s="103" customFormat="1">
      <c r="A364" s="44" t="s">
        <v>115</v>
      </c>
      <c r="B364" s="45" t="e">
        <f>#REF!</f>
        <v>#REF!</v>
      </c>
      <c r="C364" s="20"/>
      <c r="D364" s="20"/>
      <c r="E364" s="20"/>
      <c r="F364" s="100"/>
      <c r="G364" s="101"/>
      <c r="H364" s="133"/>
      <c r="I364" s="102"/>
      <c r="K364" s="99">
        <v>359</v>
      </c>
    </row>
    <row r="365" spans="1:11">
      <c r="A365" s="15" t="s">
        <v>116</v>
      </c>
      <c r="B365" s="7" t="e">
        <f>#REF!</f>
        <v>#REF!</v>
      </c>
      <c r="C365" s="8"/>
      <c r="D365" s="8"/>
      <c r="E365" s="8"/>
      <c r="F365" s="104"/>
      <c r="G365" s="105"/>
      <c r="H365" s="196"/>
      <c r="I365" s="102">
        <f>SUM(I366:I369)</f>
        <v>330300</v>
      </c>
      <c r="K365" s="99">
        <v>366</v>
      </c>
    </row>
    <row r="366" spans="1:11">
      <c r="A366" s="15">
        <v>1</v>
      </c>
      <c r="B366" s="7" t="s">
        <v>73</v>
      </c>
      <c r="C366" s="8" t="str">
        <f>Gia_Tbi!C4</f>
        <v>cái</v>
      </c>
      <c r="D366" s="8">
        <f>Gia_Tbi!D4</f>
        <v>0.4</v>
      </c>
      <c r="E366" s="8">
        <f>Gia_Tbi!E4</f>
        <v>5</v>
      </c>
      <c r="F366" s="104">
        <f>Gia_Tbi!F4</f>
        <v>10000000</v>
      </c>
      <c r="G366" s="105">
        <f>Gia_Tbi!G4</f>
        <v>4000</v>
      </c>
      <c r="H366" s="203">
        <v>72</v>
      </c>
      <c r="I366" s="106">
        <f>G366*H366</f>
        <v>288000</v>
      </c>
      <c r="K366" s="99">
        <v>367</v>
      </c>
    </row>
    <row r="367" spans="1:11">
      <c r="A367" s="15">
        <v>2</v>
      </c>
      <c r="B367" s="7" t="s">
        <v>74</v>
      </c>
      <c r="C367" s="8" t="str">
        <f>Gia_Tbi!C5</f>
        <v>cái</v>
      </c>
      <c r="D367" s="8">
        <f>Gia_Tbi!D5</f>
        <v>0.6</v>
      </c>
      <c r="E367" s="8">
        <f>Gia_Tbi!E5</f>
        <v>5</v>
      </c>
      <c r="F367" s="104">
        <f>Gia_Tbi!F5</f>
        <v>2500000</v>
      </c>
      <c r="G367" s="105">
        <f>Gia_Tbi!G5</f>
        <v>1000</v>
      </c>
      <c r="H367" s="203">
        <v>0.8</v>
      </c>
      <c r="I367" s="106">
        <f>G367*H367</f>
        <v>800</v>
      </c>
      <c r="K367" s="99">
        <v>368</v>
      </c>
    </row>
    <row r="368" spans="1:11">
      <c r="A368" s="15">
        <v>3</v>
      </c>
      <c r="B368" s="7" t="s">
        <v>24</v>
      </c>
      <c r="C368" s="8" t="str">
        <f>Gia_Tbi!C6</f>
        <v>cái</v>
      </c>
      <c r="D368" s="8">
        <f>Gia_Tbi!D6</f>
        <v>2.2000000000000002</v>
      </c>
      <c r="E368" s="8">
        <f>Gia_Tbi!E6</f>
        <v>8</v>
      </c>
      <c r="F368" s="104">
        <f>Gia_Tbi!F6</f>
        <v>12000000</v>
      </c>
      <c r="G368" s="105">
        <f>Gia_Tbi!G6</f>
        <v>3000</v>
      </c>
      <c r="H368" s="203">
        <v>12</v>
      </c>
      <c r="I368" s="106">
        <f>G368*H368</f>
        <v>36000</v>
      </c>
      <c r="K368" s="99">
        <v>369</v>
      </c>
    </row>
    <row r="369" spans="1:11">
      <c r="A369" s="15">
        <v>4</v>
      </c>
      <c r="B369" s="7" t="s">
        <v>23</v>
      </c>
      <c r="C369" s="8" t="str">
        <f>Gia_Tbi!C7</f>
        <v>cái</v>
      </c>
      <c r="D369" s="8">
        <f>Gia_Tbi!D7</f>
        <v>1.5</v>
      </c>
      <c r="E369" s="8">
        <f>Gia_Tbi!E7</f>
        <v>8</v>
      </c>
      <c r="F369" s="104">
        <f>Gia_Tbi!F7</f>
        <v>44000000</v>
      </c>
      <c r="G369" s="105">
        <f>Gia_Tbi!G7</f>
        <v>11000</v>
      </c>
      <c r="H369" s="203">
        <v>0.5</v>
      </c>
      <c r="I369" s="106">
        <f>G369*H369</f>
        <v>5500</v>
      </c>
      <c r="K369" s="99">
        <v>370</v>
      </c>
    </row>
    <row r="370" spans="1:11">
      <c r="A370" s="57">
        <v>5</v>
      </c>
      <c r="B370" s="58" t="s">
        <v>8</v>
      </c>
      <c r="C370" s="59" t="str">
        <f>Gia_Tbi!C10</f>
        <v>Cái</v>
      </c>
      <c r="D370" s="59">
        <f>Gia_Tbi!D10</f>
        <v>1</v>
      </c>
      <c r="E370" s="140">
        <f>Gia_Tbi!E10</f>
        <v>10</v>
      </c>
      <c r="F370" s="108">
        <f>Gia_Tbi!F10</f>
        <v>80000000</v>
      </c>
      <c r="G370" s="109">
        <f>Gia_Tbi!G10</f>
        <v>16000</v>
      </c>
      <c r="H370" s="197">
        <f>(H366*D366+H367*D367+H368*D368+H369*D369)*8</f>
        <v>451.44000000000005</v>
      </c>
      <c r="I370" s="144">
        <f>G370*H370*E370</f>
        <v>72230400.000000015</v>
      </c>
      <c r="K370" s="99">
        <v>371</v>
      </c>
    </row>
    <row r="371" spans="1:11">
      <c r="A371" s="15" t="s">
        <v>117</v>
      </c>
      <c r="B371" s="7" t="e">
        <f>#REF!</f>
        <v>#REF!</v>
      </c>
      <c r="C371" s="8"/>
      <c r="D371" s="8"/>
      <c r="E371" s="8"/>
      <c r="F371" s="104"/>
      <c r="G371" s="105"/>
      <c r="H371" s="196"/>
      <c r="I371" s="102">
        <f>SUM(I372:I375)</f>
        <v>66400</v>
      </c>
      <c r="K371" s="99">
        <v>360</v>
      </c>
    </row>
    <row r="372" spans="1:11">
      <c r="A372" s="15">
        <v>1</v>
      </c>
      <c r="B372" s="7" t="s">
        <v>73</v>
      </c>
      <c r="C372" s="8" t="str">
        <f>Gia_Tbi!C4</f>
        <v>cái</v>
      </c>
      <c r="D372" s="8">
        <f>Gia_Tbi!D4</f>
        <v>0.4</v>
      </c>
      <c r="E372" s="8">
        <f>Gia_Tbi!E4</f>
        <v>5</v>
      </c>
      <c r="F372" s="104">
        <f>Gia_Tbi!F4</f>
        <v>10000000</v>
      </c>
      <c r="G372" s="105">
        <f>Gia_Tbi!G4</f>
        <v>4000</v>
      </c>
      <c r="H372" s="203">
        <v>12</v>
      </c>
      <c r="I372" s="106">
        <f>G372*H372</f>
        <v>48000</v>
      </c>
      <c r="K372" s="99">
        <v>361</v>
      </c>
    </row>
    <row r="373" spans="1:11">
      <c r="A373" s="15">
        <v>2</v>
      </c>
      <c r="B373" s="7" t="s">
        <v>74</v>
      </c>
      <c r="C373" s="8" t="str">
        <f>Gia_Tbi!C5</f>
        <v>cái</v>
      </c>
      <c r="D373" s="8">
        <f>Gia_Tbi!D5</f>
        <v>0.6</v>
      </c>
      <c r="E373" s="8">
        <f>Gia_Tbi!E5</f>
        <v>5</v>
      </c>
      <c r="F373" s="104">
        <f>Gia_Tbi!F5</f>
        <v>2500000</v>
      </c>
      <c r="G373" s="105">
        <f>Gia_Tbi!G5</f>
        <v>1000</v>
      </c>
      <c r="H373" s="203">
        <v>2</v>
      </c>
      <c r="I373" s="106">
        <f>G373*H373</f>
        <v>2000</v>
      </c>
      <c r="K373" s="99">
        <v>362</v>
      </c>
    </row>
    <row r="374" spans="1:11">
      <c r="A374" s="15">
        <v>3</v>
      </c>
      <c r="B374" s="7" t="s">
        <v>24</v>
      </c>
      <c r="C374" s="8" t="str">
        <f>Gia_Tbi!C6</f>
        <v>cái</v>
      </c>
      <c r="D374" s="8">
        <f>Gia_Tbi!D6</f>
        <v>2.2000000000000002</v>
      </c>
      <c r="E374" s="8">
        <f>Gia_Tbi!E6</f>
        <v>8</v>
      </c>
      <c r="F374" s="104">
        <f>Gia_Tbi!F6</f>
        <v>12000000</v>
      </c>
      <c r="G374" s="105">
        <f>Gia_Tbi!G6</f>
        <v>3000</v>
      </c>
      <c r="H374" s="203">
        <v>4</v>
      </c>
      <c r="I374" s="106">
        <f>G374*H374</f>
        <v>12000</v>
      </c>
      <c r="K374" s="99">
        <v>363</v>
      </c>
    </row>
    <row r="375" spans="1:11">
      <c r="A375" s="15">
        <v>4</v>
      </c>
      <c r="B375" s="7" t="s">
        <v>23</v>
      </c>
      <c r="C375" s="8" t="str">
        <f>Gia_Tbi!C7</f>
        <v>cái</v>
      </c>
      <c r="D375" s="8">
        <f>Gia_Tbi!D7</f>
        <v>1.5</v>
      </c>
      <c r="E375" s="8">
        <f>Gia_Tbi!E7</f>
        <v>8</v>
      </c>
      <c r="F375" s="104">
        <f>Gia_Tbi!F7</f>
        <v>44000000</v>
      </c>
      <c r="G375" s="105">
        <f>Gia_Tbi!G7</f>
        <v>11000</v>
      </c>
      <c r="H375" s="203">
        <v>0.4</v>
      </c>
      <c r="I375" s="106">
        <f>G375*H375</f>
        <v>4400</v>
      </c>
      <c r="K375" s="99">
        <v>364</v>
      </c>
    </row>
    <row r="376" spans="1:11">
      <c r="A376" s="57">
        <v>5</v>
      </c>
      <c r="B376" s="58" t="s">
        <v>8</v>
      </c>
      <c r="C376" s="59" t="str">
        <f>Gia_Tbi!C10</f>
        <v>Cái</v>
      </c>
      <c r="D376" s="59">
        <f>Gia_Tbi!D10</f>
        <v>1</v>
      </c>
      <c r="E376" s="140">
        <f>Gia_Tbi!E10</f>
        <v>10</v>
      </c>
      <c r="F376" s="108">
        <f>Gia_Tbi!F10</f>
        <v>80000000</v>
      </c>
      <c r="G376" s="109">
        <f>Gia_Tbi!G10</f>
        <v>16000</v>
      </c>
      <c r="H376" s="197">
        <f>(H372*D372+H373*D373+H374*D374+H375*D375)*8</f>
        <v>123.2</v>
      </c>
      <c r="I376" s="144">
        <f>G376*H376*E376</f>
        <v>19712000</v>
      </c>
      <c r="K376" s="99">
        <v>365</v>
      </c>
    </row>
    <row r="377" spans="1:11" s="6" customFormat="1">
      <c r="A377" s="14" t="e">
        <f>#REF!</f>
        <v>#REF!</v>
      </c>
      <c r="B377" s="10" t="e">
        <f>#REF!</f>
        <v>#REF!</v>
      </c>
      <c r="C377" s="9"/>
      <c r="D377" s="9"/>
      <c r="E377" s="9"/>
      <c r="F377" s="115"/>
      <c r="G377" s="116"/>
      <c r="H377" s="199"/>
      <c r="I377" s="117"/>
      <c r="K377" s="99">
        <v>372</v>
      </c>
    </row>
    <row r="378" spans="1:11" s="103" customFormat="1">
      <c r="A378" s="44" t="e">
        <f>#REF!</f>
        <v>#REF!</v>
      </c>
      <c r="B378" s="45" t="e">
        <f>#REF!</f>
        <v>#REF!</v>
      </c>
      <c r="C378" s="20"/>
      <c r="D378" s="20"/>
      <c r="E378" s="20"/>
      <c r="F378" s="100"/>
      <c r="G378" s="101"/>
      <c r="H378" s="133"/>
      <c r="I378" s="102"/>
      <c r="K378" s="99">
        <v>373</v>
      </c>
    </row>
    <row r="379" spans="1:11" s="103" customFormat="1">
      <c r="A379" s="44" t="e">
        <f>#REF!</f>
        <v>#REF!</v>
      </c>
      <c r="B379" s="45" t="e">
        <f>#REF!</f>
        <v>#REF!</v>
      </c>
      <c r="C379" s="20"/>
      <c r="D379" s="20"/>
      <c r="E379" s="20"/>
      <c r="F379" s="100"/>
      <c r="G379" s="101"/>
      <c r="H379" s="133"/>
      <c r="I379" s="102">
        <f>SUM(I380:I383)</f>
        <v>1103501</v>
      </c>
      <c r="K379" s="99">
        <v>374</v>
      </c>
    </row>
    <row r="380" spans="1:11">
      <c r="A380" s="15">
        <v>1</v>
      </c>
      <c r="B380" s="7" t="s">
        <v>73</v>
      </c>
      <c r="C380" s="8" t="str">
        <f>Gia_Tbi!C4</f>
        <v>cái</v>
      </c>
      <c r="D380" s="8">
        <f>Gia_Tbi!D4</f>
        <v>0.4</v>
      </c>
      <c r="E380" s="8">
        <f>Gia_Tbi!E4</f>
        <v>5</v>
      </c>
      <c r="F380" s="104">
        <f>Gia_Tbi!F4</f>
        <v>10000000</v>
      </c>
      <c r="G380" s="105">
        <f>Gia_Tbi!G4</f>
        <v>4000</v>
      </c>
      <c r="H380" s="203">
        <v>200</v>
      </c>
      <c r="I380" s="106">
        <f>G380*H380</f>
        <v>800000</v>
      </c>
      <c r="K380" s="99">
        <v>375</v>
      </c>
    </row>
    <row r="381" spans="1:11">
      <c r="A381" s="15">
        <v>2</v>
      </c>
      <c r="B381" s="7" t="s">
        <v>74</v>
      </c>
      <c r="C381" s="8" t="str">
        <f>Gia_Tbi!C5</f>
        <v>cái</v>
      </c>
      <c r="D381" s="8">
        <f>Gia_Tbi!D5</f>
        <v>0.6</v>
      </c>
      <c r="E381" s="8">
        <f>Gia_Tbi!E5</f>
        <v>5</v>
      </c>
      <c r="F381" s="104">
        <f>Gia_Tbi!F5</f>
        <v>2500000</v>
      </c>
      <c r="G381" s="105">
        <f>Gia_Tbi!G5</f>
        <v>1000</v>
      </c>
      <c r="H381" s="203">
        <v>10</v>
      </c>
      <c r="I381" s="106">
        <f>G381*H381</f>
        <v>10000</v>
      </c>
      <c r="K381" s="99">
        <v>376</v>
      </c>
    </row>
    <row r="382" spans="1:11">
      <c r="A382" s="15">
        <v>3</v>
      </c>
      <c r="B382" s="7" t="s">
        <v>24</v>
      </c>
      <c r="C382" s="8" t="str">
        <f>Gia_Tbi!C6</f>
        <v>cái</v>
      </c>
      <c r="D382" s="8">
        <f>Gia_Tbi!D6</f>
        <v>2.2000000000000002</v>
      </c>
      <c r="E382" s="8">
        <f>Gia_Tbi!E6</f>
        <v>8</v>
      </c>
      <c r="F382" s="104">
        <f>Gia_Tbi!F6</f>
        <v>12000000</v>
      </c>
      <c r="G382" s="105">
        <f>Gia_Tbi!G6</f>
        <v>3000</v>
      </c>
      <c r="H382" s="203">
        <v>66.667000000000002</v>
      </c>
      <c r="I382" s="106">
        <f>G382*H382</f>
        <v>200001</v>
      </c>
      <c r="K382" s="99">
        <v>377</v>
      </c>
    </row>
    <row r="383" spans="1:11">
      <c r="A383" s="15">
        <v>4</v>
      </c>
      <c r="B383" s="7" t="s">
        <v>23</v>
      </c>
      <c r="C383" s="8" t="str">
        <f>Gia_Tbi!C7</f>
        <v>cái</v>
      </c>
      <c r="D383" s="8">
        <f>Gia_Tbi!D7</f>
        <v>1.5</v>
      </c>
      <c r="E383" s="8">
        <f>Gia_Tbi!E7</f>
        <v>8</v>
      </c>
      <c r="F383" s="104">
        <f>Gia_Tbi!F7</f>
        <v>44000000</v>
      </c>
      <c r="G383" s="105">
        <f>Gia_Tbi!G7</f>
        <v>11000</v>
      </c>
      <c r="H383" s="203">
        <v>8.5</v>
      </c>
      <c r="I383" s="106">
        <f>G383*H383</f>
        <v>93500</v>
      </c>
      <c r="K383" s="99">
        <v>378</v>
      </c>
    </row>
    <row r="384" spans="1:11">
      <c r="A384" s="57">
        <v>5</v>
      </c>
      <c r="B384" s="58" t="s">
        <v>8</v>
      </c>
      <c r="C384" s="59" t="str">
        <f>Gia_Tbi!C10</f>
        <v>Cái</v>
      </c>
      <c r="D384" s="59">
        <f>Gia_Tbi!D10</f>
        <v>1</v>
      </c>
      <c r="E384" s="140">
        <f>Gia_Tbi!E10</f>
        <v>10</v>
      </c>
      <c r="F384" s="108">
        <f>Gia_Tbi!F10</f>
        <v>80000000</v>
      </c>
      <c r="G384" s="109">
        <f>Gia_Tbi!G10</f>
        <v>16000</v>
      </c>
      <c r="H384" s="197">
        <f>(H380*D380+H381*D381+H382*D382+H383*D383)*8</f>
        <v>1963.3392000000001</v>
      </c>
      <c r="I384" s="144">
        <f>G384*H384*E384</f>
        <v>314134272</v>
      </c>
      <c r="K384" s="99">
        <v>379</v>
      </c>
    </row>
    <row r="385" spans="1:11" s="103" customFormat="1">
      <c r="A385" s="44" t="e">
        <f>#REF!</f>
        <v>#REF!</v>
      </c>
      <c r="B385" s="45" t="e">
        <f>#REF!</f>
        <v>#REF!</v>
      </c>
      <c r="C385" s="20"/>
      <c r="D385" s="20"/>
      <c r="E385" s="20"/>
      <c r="F385" s="100"/>
      <c r="G385" s="101"/>
      <c r="H385" s="133"/>
      <c r="I385" s="102">
        <f>SUM(I386:I389)</f>
        <v>101</v>
      </c>
      <c r="K385" s="99">
        <v>380</v>
      </c>
    </row>
    <row r="386" spans="1:11">
      <c r="A386" s="15">
        <v>1</v>
      </c>
      <c r="B386" s="7" t="s">
        <v>73</v>
      </c>
      <c r="C386" s="8" t="str">
        <f>Gia_Tbi!C4</f>
        <v>cái</v>
      </c>
      <c r="D386" s="8">
        <f>Gia_Tbi!D4</f>
        <v>0.4</v>
      </c>
      <c r="E386" s="8">
        <f>Gia_Tbi!E4</f>
        <v>5</v>
      </c>
      <c r="F386" s="104">
        <f>Gia_Tbi!F4</f>
        <v>10000000</v>
      </c>
      <c r="G386" s="105">
        <f>Gia_Tbi!G4</f>
        <v>4000</v>
      </c>
      <c r="H386" s="203">
        <v>0.02</v>
      </c>
      <c r="I386" s="106">
        <f>G386*H386</f>
        <v>80</v>
      </c>
      <c r="K386" s="99">
        <v>381</v>
      </c>
    </row>
    <row r="387" spans="1:11">
      <c r="A387" s="15">
        <v>2</v>
      </c>
      <c r="B387" s="7" t="s">
        <v>74</v>
      </c>
      <c r="C387" s="8" t="str">
        <f>Gia_Tbi!C5</f>
        <v>cái</v>
      </c>
      <c r="D387" s="8">
        <f>Gia_Tbi!D5</f>
        <v>0.6</v>
      </c>
      <c r="E387" s="8">
        <f>Gia_Tbi!E5</f>
        <v>5</v>
      </c>
      <c r="F387" s="104">
        <f>Gia_Tbi!F5</f>
        <v>2500000</v>
      </c>
      <c r="G387" s="105">
        <f>Gia_Tbi!G5</f>
        <v>1000</v>
      </c>
      <c r="H387" s="203">
        <v>1E-3</v>
      </c>
      <c r="I387" s="106">
        <f>G387*H387</f>
        <v>1</v>
      </c>
      <c r="K387" s="99">
        <v>382</v>
      </c>
    </row>
    <row r="388" spans="1:11">
      <c r="A388" s="15">
        <v>3</v>
      </c>
      <c r="B388" s="7" t="s">
        <v>24</v>
      </c>
      <c r="C388" s="8" t="str">
        <f>Gia_Tbi!C6</f>
        <v>cái</v>
      </c>
      <c r="D388" s="8">
        <f>Gia_Tbi!D6</f>
        <v>2.2000000000000002</v>
      </c>
      <c r="E388" s="8">
        <f>Gia_Tbi!E6</f>
        <v>8</v>
      </c>
      <c r="F388" s="104">
        <f>Gia_Tbi!F6</f>
        <v>12000000</v>
      </c>
      <c r="G388" s="105">
        <f>Gia_Tbi!G6</f>
        <v>3000</v>
      </c>
      <c r="H388" s="203">
        <v>3.0000000000000001E-3</v>
      </c>
      <c r="I388" s="106">
        <f>G388*H388</f>
        <v>9</v>
      </c>
      <c r="K388" s="99">
        <v>383</v>
      </c>
    </row>
    <row r="389" spans="1:11">
      <c r="A389" s="15">
        <v>4</v>
      </c>
      <c r="B389" s="7" t="s">
        <v>23</v>
      </c>
      <c r="C389" s="8" t="str">
        <f>Gia_Tbi!C7</f>
        <v>cái</v>
      </c>
      <c r="D389" s="8">
        <f>Gia_Tbi!D7</f>
        <v>1.5</v>
      </c>
      <c r="E389" s="8">
        <f>Gia_Tbi!E7</f>
        <v>8</v>
      </c>
      <c r="F389" s="104">
        <f>Gia_Tbi!F7</f>
        <v>44000000</v>
      </c>
      <c r="G389" s="105">
        <f>Gia_Tbi!G7</f>
        <v>11000</v>
      </c>
      <c r="H389" s="203">
        <v>1E-3</v>
      </c>
      <c r="I389" s="106">
        <f>G389*H389</f>
        <v>11</v>
      </c>
      <c r="K389" s="99">
        <v>384</v>
      </c>
    </row>
    <row r="390" spans="1:11">
      <c r="A390" s="57">
        <v>5</v>
      </c>
      <c r="B390" s="58" t="s">
        <v>8</v>
      </c>
      <c r="C390" s="59" t="str">
        <f>Gia_Tbi!C10</f>
        <v>Cái</v>
      </c>
      <c r="D390" s="59">
        <f>Gia_Tbi!D10</f>
        <v>1</v>
      </c>
      <c r="E390" s="140">
        <f>Gia_Tbi!E10</f>
        <v>10</v>
      </c>
      <c r="F390" s="108">
        <f>Gia_Tbi!F10</f>
        <v>80000000</v>
      </c>
      <c r="G390" s="109">
        <f>Gia_Tbi!G10</f>
        <v>16000</v>
      </c>
      <c r="H390" s="197">
        <f>(H386*D386+H387*D387+H388*D388+H389*D389)*8</f>
        <v>0.13360000000000002</v>
      </c>
      <c r="I390" s="144">
        <f>G390*H390*E390</f>
        <v>21376.000000000004</v>
      </c>
      <c r="K390" s="99">
        <v>385</v>
      </c>
    </row>
    <row r="391" spans="1:11" s="103" customFormat="1">
      <c r="A391" s="44" t="e">
        <f>#REF!</f>
        <v>#REF!</v>
      </c>
      <c r="B391" s="45" t="e">
        <f>#REF!</f>
        <v>#REF!</v>
      </c>
      <c r="C391" s="20"/>
      <c r="D391" s="20"/>
      <c r="E391" s="20"/>
      <c r="F391" s="100"/>
      <c r="G391" s="101"/>
      <c r="H391" s="133"/>
      <c r="I391" s="102"/>
      <c r="K391" s="99">
        <v>386</v>
      </c>
    </row>
    <row r="392" spans="1:11">
      <c r="A392" s="15" t="e">
        <f>#REF!</f>
        <v>#REF!</v>
      </c>
      <c r="B392" s="7" t="e">
        <f>#REF!</f>
        <v>#REF!</v>
      </c>
      <c r="C392" s="8"/>
      <c r="D392" s="8"/>
      <c r="E392" s="8"/>
      <c r="F392" s="104"/>
      <c r="G392" s="105"/>
      <c r="H392" s="196"/>
      <c r="I392" s="106"/>
      <c r="K392" s="99">
        <v>387</v>
      </c>
    </row>
    <row r="393" spans="1:11">
      <c r="A393" s="15" t="e">
        <f>#REF!</f>
        <v>#REF!</v>
      </c>
      <c r="B393" s="7" t="e">
        <f>#REF!</f>
        <v>#REF!</v>
      </c>
      <c r="C393" s="8"/>
      <c r="D393" s="8"/>
      <c r="E393" s="8"/>
      <c r="F393" s="104"/>
      <c r="G393" s="105"/>
      <c r="H393" s="196"/>
      <c r="I393" s="102">
        <f>SUM(I394:I397)</f>
        <v>6204</v>
      </c>
      <c r="K393" s="99">
        <v>388</v>
      </c>
    </row>
    <row r="394" spans="1:11">
      <c r="A394" s="15">
        <v>1</v>
      </c>
      <c r="B394" s="7" t="s">
        <v>73</v>
      </c>
      <c r="C394" s="8" t="str">
        <f>Gia_Tbi!C4</f>
        <v>cái</v>
      </c>
      <c r="D394" s="8">
        <f>Gia_Tbi!D4</f>
        <v>0.4</v>
      </c>
      <c r="E394" s="8">
        <f>Gia_Tbi!E4</f>
        <v>5</v>
      </c>
      <c r="F394" s="104">
        <f>Gia_Tbi!F4</f>
        <v>10000000</v>
      </c>
      <c r="G394" s="105">
        <f>Gia_Tbi!G4</f>
        <v>4000</v>
      </c>
      <c r="H394" s="203">
        <v>4.4999999999999998E-2</v>
      </c>
      <c r="I394" s="106">
        <f>G394*H394</f>
        <v>180</v>
      </c>
      <c r="K394" s="99">
        <v>389</v>
      </c>
    </row>
    <row r="395" spans="1:11">
      <c r="A395" s="15">
        <v>2</v>
      </c>
      <c r="B395" s="7" t="s">
        <v>74</v>
      </c>
      <c r="C395" s="8" t="str">
        <f>Gia_Tbi!C5</f>
        <v>cái</v>
      </c>
      <c r="D395" s="8">
        <f>Gia_Tbi!D5</f>
        <v>0.6</v>
      </c>
      <c r="E395" s="8">
        <f>Gia_Tbi!E5</f>
        <v>5</v>
      </c>
      <c r="F395" s="104">
        <f>Gia_Tbi!F5</f>
        <v>2500000</v>
      </c>
      <c r="G395" s="105">
        <f>Gia_Tbi!G5</f>
        <v>1000</v>
      </c>
      <c r="H395" s="203">
        <v>0.5</v>
      </c>
      <c r="I395" s="106">
        <f>G395*H395</f>
        <v>500</v>
      </c>
      <c r="K395" s="99">
        <v>390</v>
      </c>
    </row>
    <row r="396" spans="1:11">
      <c r="A396" s="15">
        <v>3</v>
      </c>
      <c r="B396" s="7" t="s">
        <v>24</v>
      </c>
      <c r="C396" s="8" t="str">
        <f>Gia_Tbi!C6</f>
        <v>cái</v>
      </c>
      <c r="D396" s="8">
        <f>Gia_Tbi!D6</f>
        <v>2.2000000000000002</v>
      </c>
      <c r="E396" s="8">
        <f>Gia_Tbi!E6</f>
        <v>8</v>
      </c>
      <c r="F396" s="104">
        <f>Gia_Tbi!F6</f>
        <v>12000000</v>
      </c>
      <c r="G396" s="105">
        <f>Gia_Tbi!G6</f>
        <v>3000</v>
      </c>
      <c r="H396" s="203">
        <v>8.0000000000000002E-3</v>
      </c>
      <c r="I396" s="106">
        <f>G396*H396</f>
        <v>24</v>
      </c>
      <c r="K396" s="99">
        <v>391</v>
      </c>
    </row>
    <row r="397" spans="1:11">
      <c r="A397" s="15">
        <v>4</v>
      </c>
      <c r="B397" s="7" t="s">
        <v>23</v>
      </c>
      <c r="C397" s="8" t="str">
        <f>Gia_Tbi!C7</f>
        <v>cái</v>
      </c>
      <c r="D397" s="8">
        <f>Gia_Tbi!D7</f>
        <v>1.5</v>
      </c>
      <c r="E397" s="8">
        <f>Gia_Tbi!E7</f>
        <v>8</v>
      </c>
      <c r="F397" s="104">
        <f>Gia_Tbi!F7</f>
        <v>44000000</v>
      </c>
      <c r="G397" s="105">
        <f>Gia_Tbi!G7</f>
        <v>11000</v>
      </c>
      <c r="H397" s="203">
        <v>0.5</v>
      </c>
      <c r="I397" s="106">
        <f>G397*H397</f>
        <v>5500</v>
      </c>
      <c r="K397" s="99">
        <v>392</v>
      </c>
    </row>
    <row r="398" spans="1:11">
      <c r="A398" s="57">
        <v>5</v>
      </c>
      <c r="B398" s="58" t="s">
        <v>8</v>
      </c>
      <c r="C398" s="59" t="str">
        <f>Gia_Tbi!C10</f>
        <v>Cái</v>
      </c>
      <c r="D398" s="59">
        <f>Gia_Tbi!D10</f>
        <v>1</v>
      </c>
      <c r="E398" s="140">
        <f>Gia_Tbi!E10</f>
        <v>10</v>
      </c>
      <c r="F398" s="108">
        <f>Gia_Tbi!F10</f>
        <v>80000000</v>
      </c>
      <c r="G398" s="109">
        <f>Gia_Tbi!G10</f>
        <v>16000</v>
      </c>
      <c r="H398" s="197">
        <f>(H394*D394+H395*D395+H396*D396+H397*D397)*8</f>
        <v>8.6847999999999992</v>
      </c>
      <c r="I398" s="144">
        <f>G398*H398*E398</f>
        <v>1389568</v>
      </c>
      <c r="K398" s="99">
        <v>393</v>
      </c>
    </row>
    <row r="399" spans="1:11" s="6" customFormat="1">
      <c r="A399" s="14" t="e">
        <f>#REF!</f>
        <v>#REF!</v>
      </c>
      <c r="B399" s="10" t="e">
        <f>#REF!</f>
        <v>#REF!</v>
      </c>
      <c r="C399" s="9"/>
      <c r="D399" s="9"/>
      <c r="E399" s="9"/>
      <c r="F399" s="115"/>
      <c r="G399" s="116"/>
      <c r="H399" s="199"/>
      <c r="I399" s="117"/>
      <c r="K399" s="99">
        <v>394</v>
      </c>
    </row>
    <row r="400" spans="1:11" s="103" customFormat="1">
      <c r="A400" s="44" t="e">
        <f>#REF!</f>
        <v>#REF!</v>
      </c>
      <c r="B400" s="45" t="e">
        <f>#REF!</f>
        <v>#REF!</v>
      </c>
      <c r="C400" s="20"/>
      <c r="D400" s="20"/>
      <c r="E400" s="20"/>
      <c r="F400" s="100"/>
      <c r="G400" s="101"/>
      <c r="H400" s="133"/>
      <c r="I400" s="102"/>
      <c r="K400" s="99">
        <v>395</v>
      </c>
    </row>
    <row r="401" spans="1:11">
      <c r="A401" s="15" t="e">
        <f>#REF!</f>
        <v>#REF!</v>
      </c>
      <c r="B401" s="7" t="e">
        <f>#REF!</f>
        <v>#REF!</v>
      </c>
      <c r="C401" s="8"/>
      <c r="D401" s="8"/>
      <c r="E401" s="8"/>
      <c r="F401" s="104"/>
      <c r="G401" s="105"/>
      <c r="H401" s="196"/>
      <c r="I401" s="102">
        <f>SUM(I402:I405)</f>
        <v>240690</v>
      </c>
      <c r="K401" s="99">
        <v>396</v>
      </c>
    </row>
    <row r="402" spans="1:11">
      <c r="A402" s="15">
        <v>1</v>
      </c>
      <c r="B402" s="7" t="s">
        <v>73</v>
      </c>
      <c r="C402" s="8" t="str">
        <f>Gia_Tbi!C4</f>
        <v>cái</v>
      </c>
      <c r="D402" s="8">
        <f>Gia_Tbi!D4</f>
        <v>0.4</v>
      </c>
      <c r="E402" s="8">
        <f>Gia_Tbi!E4</f>
        <v>5</v>
      </c>
      <c r="F402" s="104">
        <f>Gia_Tbi!F4</f>
        <v>10000000</v>
      </c>
      <c r="G402" s="105">
        <f>Gia_Tbi!G4</f>
        <v>4000</v>
      </c>
      <c r="H402" s="203">
        <v>40</v>
      </c>
      <c r="I402" s="106">
        <f>G402*H402</f>
        <v>160000</v>
      </c>
      <c r="K402" s="99">
        <v>397</v>
      </c>
    </row>
    <row r="403" spans="1:11">
      <c r="A403" s="15">
        <v>2</v>
      </c>
      <c r="B403" s="7" t="s">
        <v>74</v>
      </c>
      <c r="C403" s="8" t="str">
        <f>Gia_Tbi!C5</f>
        <v>cái</v>
      </c>
      <c r="D403" s="8">
        <f>Gia_Tbi!D5</f>
        <v>0.6</v>
      </c>
      <c r="E403" s="8">
        <f>Gia_Tbi!E5</f>
        <v>5</v>
      </c>
      <c r="F403" s="104">
        <f>Gia_Tbi!F5</f>
        <v>2500000</v>
      </c>
      <c r="G403" s="105">
        <f>Gia_Tbi!G5</f>
        <v>1000</v>
      </c>
      <c r="H403" s="203">
        <v>1.1000000000000001</v>
      </c>
      <c r="I403" s="106">
        <f>G403*H403</f>
        <v>1100</v>
      </c>
      <c r="K403" s="99">
        <v>398</v>
      </c>
    </row>
    <row r="404" spans="1:11">
      <c r="A404" s="15">
        <v>3</v>
      </c>
      <c r="B404" s="7" t="s">
        <v>24</v>
      </c>
      <c r="C404" s="8" t="str">
        <f>Gia_Tbi!C6</f>
        <v>cái</v>
      </c>
      <c r="D404" s="8">
        <f>Gia_Tbi!D6</f>
        <v>2.2000000000000002</v>
      </c>
      <c r="E404" s="8">
        <f>Gia_Tbi!E6</f>
        <v>8</v>
      </c>
      <c r="F404" s="104">
        <f>Gia_Tbi!F6</f>
        <v>12000000</v>
      </c>
      <c r="G404" s="105">
        <f>Gia_Tbi!G6</f>
        <v>3000</v>
      </c>
      <c r="H404" s="203">
        <v>13.33</v>
      </c>
      <c r="I404" s="106">
        <f>G404*H404</f>
        <v>39990</v>
      </c>
      <c r="K404" s="99">
        <v>399</v>
      </c>
    </row>
    <row r="405" spans="1:11">
      <c r="A405" s="15">
        <v>4</v>
      </c>
      <c r="B405" s="7" t="s">
        <v>23</v>
      </c>
      <c r="C405" s="8" t="str">
        <f>Gia_Tbi!C7</f>
        <v>cái</v>
      </c>
      <c r="D405" s="8">
        <f>Gia_Tbi!D7</f>
        <v>1.5</v>
      </c>
      <c r="E405" s="8">
        <f>Gia_Tbi!E7</f>
        <v>8</v>
      </c>
      <c r="F405" s="104">
        <f>Gia_Tbi!F7</f>
        <v>44000000</v>
      </c>
      <c r="G405" s="105">
        <f>Gia_Tbi!G7</f>
        <v>11000</v>
      </c>
      <c r="H405" s="203">
        <v>3.6</v>
      </c>
      <c r="I405" s="106">
        <f>G405*H405</f>
        <v>39600</v>
      </c>
      <c r="K405" s="99">
        <v>400</v>
      </c>
    </row>
    <row r="406" spans="1:11">
      <c r="A406" s="57">
        <v>5</v>
      </c>
      <c r="B406" s="58" t="s">
        <v>8</v>
      </c>
      <c r="C406" s="59" t="str">
        <f>Gia_Tbi!C10</f>
        <v>Cái</v>
      </c>
      <c r="D406" s="59">
        <f>Gia_Tbi!D10</f>
        <v>1</v>
      </c>
      <c r="E406" s="140">
        <f>Gia_Tbi!E10</f>
        <v>10</v>
      </c>
      <c r="F406" s="108">
        <f>Gia_Tbi!F10</f>
        <v>80000000</v>
      </c>
      <c r="G406" s="109">
        <f>Gia_Tbi!G10</f>
        <v>16000</v>
      </c>
      <c r="H406" s="197">
        <f>(H402*D402+H403*D403+H404*D404+H405*D405)*8</f>
        <v>411.08800000000002</v>
      </c>
      <c r="I406" s="144">
        <f>G406*H406*E406</f>
        <v>65774080</v>
      </c>
      <c r="K406" s="99">
        <v>401</v>
      </c>
    </row>
    <row r="407" spans="1:11">
      <c r="A407" s="15" t="e">
        <f>#REF!</f>
        <v>#REF!</v>
      </c>
      <c r="B407" s="7" t="e">
        <f>#REF!</f>
        <v>#REF!</v>
      </c>
      <c r="C407" s="8"/>
      <c r="D407" s="8"/>
      <c r="E407" s="8"/>
      <c r="F407" s="104"/>
      <c r="G407" s="105"/>
      <c r="H407" s="196"/>
      <c r="I407" s="102">
        <f>SUM(I408:I411)</f>
        <v>661510</v>
      </c>
      <c r="K407" s="99">
        <v>402</v>
      </c>
    </row>
    <row r="408" spans="1:11">
      <c r="A408" s="15">
        <v>1</v>
      </c>
      <c r="B408" s="7" t="s">
        <v>73</v>
      </c>
      <c r="C408" s="8" t="str">
        <f>Gia_Tbi!C4</f>
        <v>cái</v>
      </c>
      <c r="D408" s="8">
        <f>Gia_Tbi!D4</f>
        <v>0.4</v>
      </c>
      <c r="E408" s="8">
        <f>Gia_Tbi!E4</f>
        <v>5</v>
      </c>
      <c r="F408" s="104">
        <f>Gia_Tbi!F4</f>
        <v>10000000</v>
      </c>
      <c r="G408" s="105">
        <f>Gia_Tbi!G4</f>
        <v>4000</v>
      </c>
      <c r="H408" s="203">
        <v>125</v>
      </c>
      <c r="I408" s="106">
        <f>G408*H408</f>
        <v>500000</v>
      </c>
      <c r="K408" s="99">
        <v>403</v>
      </c>
    </row>
    <row r="409" spans="1:11">
      <c r="A409" s="15">
        <v>2</v>
      </c>
      <c r="B409" s="7" t="s">
        <v>74</v>
      </c>
      <c r="C409" s="8" t="str">
        <f>Gia_Tbi!C5</f>
        <v>cái</v>
      </c>
      <c r="D409" s="8">
        <f>Gia_Tbi!D5</f>
        <v>0.6</v>
      </c>
      <c r="E409" s="8">
        <f>Gia_Tbi!E5</f>
        <v>5</v>
      </c>
      <c r="F409" s="104">
        <f>Gia_Tbi!F5</f>
        <v>2500000</v>
      </c>
      <c r="G409" s="105">
        <f>Gia_Tbi!G5</f>
        <v>1000</v>
      </c>
      <c r="H409" s="203">
        <v>3.5</v>
      </c>
      <c r="I409" s="106">
        <f>G409*H409</f>
        <v>3500</v>
      </c>
      <c r="K409" s="99">
        <v>404</v>
      </c>
    </row>
    <row r="410" spans="1:11">
      <c r="A410" s="15">
        <v>3</v>
      </c>
      <c r="B410" s="7" t="s">
        <v>24</v>
      </c>
      <c r="C410" s="8" t="str">
        <f>Gia_Tbi!C6</f>
        <v>cái</v>
      </c>
      <c r="D410" s="8">
        <f>Gia_Tbi!D6</f>
        <v>2.2000000000000002</v>
      </c>
      <c r="E410" s="8">
        <f>Gia_Tbi!E6</f>
        <v>8</v>
      </c>
      <c r="F410" s="104">
        <f>Gia_Tbi!F6</f>
        <v>12000000</v>
      </c>
      <c r="G410" s="105">
        <f>Gia_Tbi!G6</f>
        <v>3000</v>
      </c>
      <c r="H410" s="203">
        <v>41.67</v>
      </c>
      <c r="I410" s="106">
        <f>G410*H410</f>
        <v>125010</v>
      </c>
      <c r="K410" s="99">
        <v>405</v>
      </c>
    </row>
    <row r="411" spans="1:11">
      <c r="A411" s="15">
        <v>4</v>
      </c>
      <c r="B411" s="7" t="s">
        <v>23</v>
      </c>
      <c r="C411" s="8" t="str">
        <f>Gia_Tbi!C7</f>
        <v>cái</v>
      </c>
      <c r="D411" s="8">
        <f>Gia_Tbi!D7</f>
        <v>1.5</v>
      </c>
      <c r="E411" s="8">
        <f>Gia_Tbi!E7</f>
        <v>8</v>
      </c>
      <c r="F411" s="104">
        <f>Gia_Tbi!F7</f>
        <v>44000000</v>
      </c>
      <c r="G411" s="105">
        <f>Gia_Tbi!G7</f>
        <v>11000</v>
      </c>
      <c r="H411" s="203">
        <v>3</v>
      </c>
      <c r="I411" s="106">
        <f>G411*H411</f>
        <v>33000</v>
      </c>
      <c r="K411" s="99">
        <v>406</v>
      </c>
    </row>
    <row r="412" spans="1:11">
      <c r="A412" s="57">
        <v>5</v>
      </c>
      <c r="B412" s="58" t="s">
        <v>8</v>
      </c>
      <c r="C412" s="59" t="str">
        <f>Gia_Tbi!C10</f>
        <v>Cái</v>
      </c>
      <c r="D412" s="59">
        <f>Gia_Tbi!D10</f>
        <v>1</v>
      </c>
      <c r="E412" s="140">
        <f>Gia_Tbi!E10</f>
        <v>10</v>
      </c>
      <c r="F412" s="108">
        <f>Gia_Tbi!F10</f>
        <v>80000000</v>
      </c>
      <c r="G412" s="109">
        <f>Gia_Tbi!G10</f>
        <v>16000</v>
      </c>
      <c r="H412" s="197">
        <f>(H408*D408+H409*D409+H410*D410+H411*D411)*8</f>
        <v>1186.192</v>
      </c>
      <c r="I412" s="144">
        <f>G412*H412*E412</f>
        <v>189790720</v>
      </c>
      <c r="K412" s="99">
        <v>407</v>
      </c>
    </row>
    <row r="413" spans="1:11" s="103" customFormat="1">
      <c r="A413" s="44" t="e">
        <f>#REF!</f>
        <v>#REF!</v>
      </c>
      <c r="B413" s="45" t="e">
        <f>#REF!</f>
        <v>#REF!</v>
      </c>
      <c r="C413" s="20"/>
      <c r="D413" s="20"/>
      <c r="E413" s="20"/>
      <c r="F413" s="100"/>
      <c r="G413" s="101"/>
      <c r="H413" s="133"/>
      <c r="I413" s="102">
        <f>SUM(I414:I417)</f>
        <v>126610</v>
      </c>
      <c r="K413" s="99">
        <v>408</v>
      </c>
    </row>
    <row r="414" spans="1:11">
      <c r="A414" s="15">
        <v>1</v>
      </c>
      <c r="B414" s="7" t="s">
        <v>73</v>
      </c>
      <c r="C414" s="8" t="str">
        <f>Gia_Tbi!C4</f>
        <v>cái</v>
      </c>
      <c r="D414" s="8">
        <f>Gia_Tbi!D4</f>
        <v>0.4</v>
      </c>
      <c r="E414" s="8">
        <f>Gia_Tbi!E4</f>
        <v>5</v>
      </c>
      <c r="F414" s="104">
        <f>Gia_Tbi!F4</f>
        <v>10000000</v>
      </c>
      <c r="G414" s="105">
        <f>Gia_Tbi!G4</f>
        <v>4000</v>
      </c>
      <c r="H414" s="203">
        <v>20</v>
      </c>
      <c r="I414" s="106">
        <f>G414*H414</f>
        <v>80000</v>
      </c>
      <c r="K414" s="99">
        <v>409</v>
      </c>
    </row>
    <row r="415" spans="1:11">
      <c r="A415" s="15">
        <v>2</v>
      </c>
      <c r="B415" s="7" t="s">
        <v>74</v>
      </c>
      <c r="C415" s="8" t="str">
        <f>Gia_Tbi!C5</f>
        <v>cái</v>
      </c>
      <c r="D415" s="8">
        <f>Gia_Tbi!D5</f>
        <v>0.6</v>
      </c>
      <c r="E415" s="8">
        <f>Gia_Tbi!E5</f>
        <v>5</v>
      </c>
      <c r="F415" s="104">
        <f>Gia_Tbi!F5</f>
        <v>2500000</v>
      </c>
      <c r="G415" s="105">
        <f>Gia_Tbi!G5</f>
        <v>1000</v>
      </c>
      <c r="H415" s="203">
        <v>0.2</v>
      </c>
      <c r="I415" s="106">
        <f>G415*H415</f>
        <v>200</v>
      </c>
      <c r="K415" s="99">
        <v>410</v>
      </c>
    </row>
    <row r="416" spans="1:11">
      <c r="A416" s="15">
        <v>3</v>
      </c>
      <c r="B416" s="7" t="s">
        <v>24</v>
      </c>
      <c r="C416" s="8" t="str">
        <f>Gia_Tbi!C6</f>
        <v>cái</v>
      </c>
      <c r="D416" s="8">
        <f>Gia_Tbi!D6</f>
        <v>2.2000000000000002</v>
      </c>
      <c r="E416" s="8">
        <f>Gia_Tbi!E6</f>
        <v>8</v>
      </c>
      <c r="F416" s="104">
        <f>Gia_Tbi!F6</f>
        <v>12000000</v>
      </c>
      <c r="G416" s="105">
        <f>Gia_Tbi!G6</f>
        <v>3000</v>
      </c>
      <c r="H416" s="203">
        <v>6.67</v>
      </c>
      <c r="I416" s="106">
        <f>G416*H416</f>
        <v>20010</v>
      </c>
      <c r="K416" s="99">
        <v>411</v>
      </c>
    </row>
    <row r="417" spans="1:11">
      <c r="A417" s="15">
        <v>4</v>
      </c>
      <c r="B417" s="7" t="s">
        <v>23</v>
      </c>
      <c r="C417" s="8" t="str">
        <f>Gia_Tbi!C7</f>
        <v>cái</v>
      </c>
      <c r="D417" s="8">
        <f>Gia_Tbi!D7</f>
        <v>1.5</v>
      </c>
      <c r="E417" s="8">
        <f>Gia_Tbi!E7</f>
        <v>8</v>
      </c>
      <c r="F417" s="104">
        <f>Gia_Tbi!F7</f>
        <v>44000000</v>
      </c>
      <c r="G417" s="105">
        <f>Gia_Tbi!G7</f>
        <v>11000</v>
      </c>
      <c r="H417" s="203">
        <v>2.4</v>
      </c>
      <c r="I417" s="106">
        <f>G417*H417</f>
        <v>26400</v>
      </c>
      <c r="K417" s="99">
        <v>412</v>
      </c>
    </row>
    <row r="418" spans="1:11">
      <c r="A418" s="57">
        <v>5</v>
      </c>
      <c r="B418" s="58" t="s">
        <v>8</v>
      </c>
      <c r="C418" s="59" t="str">
        <f>Gia_Tbi!C10</f>
        <v>Cái</v>
      </c>
      <c r="D418" s="59">
        <f>Gia_Tbi!D10</f>
        <v>1</v>
      </c>
      <c r="E418" s="140">
        <f>Gia_Tbi!E10</f>
        <v>10</v>
      </c>
      <c r="F418" s="108">
        <f>Gia_Tbi!F10</f>
        <v>80000000</v>
      </c>
      <c r="G418" s="109">
        <f>Gia_Tbi!G10</f>
        <v>16000</v>
      </c>
      <c r="H418" s="197">
        <f>(H414*D414+H415*D415+H416*D416+H417*D417)*8</f>
        <v>211.15199999999999</v>
      </c>
      <c r="I418" s="144">
        <f>G418*H418*E418</f>
        <v>33784320</v>
      </c>
      <c r="K418" s="99">
        <v>413</v>
      </c>
    </row>
    <row r="419" spans="1:11" s="103" customFormat="1">
      <c r="A419" s="44" t="e">
        <f>#REF!</f>
        <v>#REF!</v>
      </c>
      <c r="B419" s="45" t="e">
        <f>#REF!</f>
        <v>#REF!</v>
      </c>
      <c r="C419" s="20"/>
      <c r="D419" s="20"/>
      <c r="E419" s="20"/>
      <c r="F419" s="100"/>
      <c r="G419" s="101"/>
      <c r="H419" s="133"/>
      <c r="I419" s="102">
        <f>SUM(I420:I423)</f>
        <v>316490</v>
      </c>
      <c r="K419" s="99">
        <v>414</v>
      </c>
    </row>
    <row r="420" spans="1:11">
      <c r="A420" s="15">
        <v>1</v>
      </c>
      <c r="B420" s="7" t="s">
        <v>73</v>
      </c>
      <c r="C420" s="8" t="str">
        <f>Gia_Tbi!C4</f>
        <v>cái</v>
      </c>
      <c r="D420" s="8">
        <f>Gia_Tbi!D4</f>
        <v>0.4</v>
      </c>
      <c r="E420" s="8">
        <f>Gia_Tbi!E4</f>
        <v>5</v>
      </c>
      <c r="F420" s="104">
        <f>Gia_Tbi!F4</f>
        <v>10000000</v>
      </c>
      <c r="G420" s="105">
        <f>Gia_Tbi!G4</f>
        <v>4000</v>
      </c>
      <c r="H420" s="203">
        <v>55</v>
      </c>
      <c r="I420" s="106">
        <f>G420*H420</f>
        <v>220000</v>
      </c>
      <c r="K420" s="99">
        <v>415</v>
      </c>
    </row>
    <row r="421" spans="1:11">
      <c r="A421" s="15">
        <v>2</v>
      </c>
      <c r="B421" s="7" t="s">
        <v>74</v>
      </c>
      <c r="C421" s="8" t="str">
        <f>Gia_Tbi!C5</f>
        <v>cái</v>
      </c>
      <c r="D421" s="8">
        <f>Gia_Tbi!D5</f>
        <v>0.6</v>
      </c>
      <c r="E421" s="8">
        <f>Gia_Tbi!E5</f>
        <v>5</v>
      </c>
      <c r="F421" s="104">
        <f>Gia_Tbi!F5</f>
        <v>2500000</v>
      </c>
      <c r="G421" s="105">
        <f>Gia_Tbi!G5</f>
        <v>1000</v>
      </c>
      <c r="H421" s="203">
        <v>3</v>
      </c>
      <c r="I421" s="106">
        <f>G421*H421</f>
        <v>3000</v>
      </c>
      <c r="K421" s="99">
        <v>416</v>
      </c>
    </row>
    <row r="422" spans="1:11">
      <c r="A422" s="15">
        <v>3</v>
      </c>
      <c r="B422" s="7" t="s">
        <v>24</v>
      </c>
      <c r="C422" s="8" t="str">
        <f>Gia_Tbi!C6</f>
        <v>cái</v>
      </c>
      <c r="D422" s="8">
        <f>Gia_Tbi!D6</f>
        <v>2.2000000000000002</v>
      </c>
      <c r="E422" s="8">
        <f>Gia_Tbi!E6</f>
        <v>8</v>
      </c>
      <c r="F422" s="104">
        <f>Gia_Tbi!F6</f>
        <v>12000000</v>
      </c>
      <c r="G422" s="105">
        <f>Gia_Tbi!G6</f>
        <v>3000</v>
      </c>
      <c r="H422" s="203">
        <v>18.329999999999998</v>
      </c>
      <c r="I422" s="106">
        <f>G422*H422</f>
        <v>54989.999999999993</v>
      </c>
      <c r="K422" s="99">
        <v>417</v>
      </c>
    </row>
    <row r="423" spans="1:11">
      <c r="A423" s="15">
        <v>4</v>
      </c>
      <c r="B423" s="7" t="s">
        <v>23</v>
      </c>
      <c r="C423" s="8" t="str">
        <f>Gia_Tbi!C7</f>
        <v>cái</v>
      </c>
      <c r="D423" s="8">
        <f>Gia_Tbi!D7</f>
        <v>1.5</v>
      </c>
      <c r="E423" s="8">
        <f>Gia_Tbi!E7</f>
        <v>8</v>
      </c>
      <c r="F423" s="104">
        <f>Gia_Tbi!F7</f>
        <v>44000000</v>
      </c>
      <c r="G423" s="105">
        <f>Gia_Tbi!G7</f>
        <v>11000</v>
      </c>
      <c r="H423" s="203">
        <v>3.5</v>
      </c>
      <c r="I423" s="106">
        <f>G423*H423</f>
        <v>38500</v>
      </c>
      <c r="K423" s="99">
        <v>418</v>
      </c>
    </row>
    <row r="424" spans="1:11">
      <c r="A424" s="57">
        <v>5</v>
      </c>
      <c r="B424" s="58" t="s">
        <v>8</v>
      </c>
      <c r="C424" s="59" t="str">
        <f>Gia_Tbi!C10</f>
        <v>Cái</v>
      </c>
      <c r="D424" s="59">
        <f>Gia_Tbi!D10</f>
        <v>1</v>
      </c>
      <c r="E424" s="140">
        <f>Gia_Tbi!E10</f>
        <v>10</v>
      </c>
      <c r="F424" s="108">
        <f>Gia_Tbi!F10</f>
        <v>80000000</v>
      </c>
      <c r="G424" s="109">
        <f>Gia_Tbi!G10</f>
        <v>16000</v>
      </c>
      <c r="H424" s="197">
        <f>(H420*D420+H421*D421+H422*D422+H423*D423)*8</f>
        <v>555.00800000000004</v>
      </c>
      <c r="I424" s="144">
        <f>G424*H424*E424</f>
        <v>88801280</v>
      </c>
      <c r="K424" s="99">
        <v>419</v>
      </c>
    </row>
    <row r="425" spans="1:11" s="103" customFormat="1">
      <c r="A425" s="44" t="e">
        <f>#REF!</f>
        <v>#REF!</v>
      </c>
      <c r="B425" s="45" t="e">
        <f>#REF!</f>
        <v>#REF!</v>
      </c>
      <c r="C425" s="20"/>
      <c r="D425" s="20"/>
      <c r="E425" s="20"/>
      <c r="F425" s="100"/>
      <c r="G425" s="101"/>
      <c r="H425" s="133"/>
      <c r="I425" s="102">
        <f>SUM(I426:I429)</f>
        <v>223890</v>
      </c>
      <c r="K425" s="99">
        <v>420</v>
      </c>
    </row>
    <row r="426" spans="1:11">
      <c r="A426" s="15">
        <v>1</v>
      </c>
      <c r="B426" s="7" t="s">
        <v>73</v>
      </c>
      <c r="C426" s="8" t="str">
        <f>Gia_Tbi!C4</f>
        <v>cái</v>
      </c>
      <c r="D426" s="8">
        <f>Gia_Tbi!D4</f>
        <v>0.4</v>
      </c>
      <c r="E426" s="8">
        <f>Gia_Tbi!E4</f>
        <v>5</v>
      </c>
      <c r="F426" s="104">
        <f>Gia_Tbi!F4</f>
        <v>10000000</v>
      </c>
      <c r="G426" s="105">
        <f>Gia_Tbi!G4</f>
        <v>4000</v>
      </c>
      <c r="H426" s="203">
        <v>37.9</v>
      </c>
      <c r="I426" s="106">
        <f>G426*H426</f>
        <v>151600</v>
      </c>
      <c r="K426" s="99">
        <v>421</v>
      </c>
    </row>
    <row r="427" spans="1:11">
      <c r="A427" s="15">
        <v>2</v>
      </c>
      <c r="B427" s="7" t="s">
        <v>74</v>
      </c>
      <c r="C427" s="8" t="str">
        <f>Gia_Tbi!C5</f>
        <v>cái</v>
      </c>
      <c r="D427" s="8">
        <f>Gia_Tbi!D5</f>
        <v>0.6</v>
      </c>
      <c r="E427" s="8">
        <f>Gia_Tbi!E5</f>
        <v>5</v>
      </c>
      <c r="F427" s="104">
        <f>Gia_Tbi!F5</f>
        <v>2500000</v>
      </c>
      <c r="G427" s="105">
        <f>Gia_Tbi!G5</f>
        <v>1000</v>
      </c>
      <c r="H427" s="203">
        <v>1.95</v>
      </c>
      <c r="I427" s="106">
        <f>G427*H427</f>
        <v>1950</v>
      </c>
      <c r="K427" s="99">
        <v>422</v>
      </c>
    </row>
    <row r="428" spans="1:11">
      <c r="A428" s="15">
        <v>3</v>
      </c>
      <c r="B428" s="7" t="s">
        <v>24</v>
      </c>
      <c r="C428" s="8" t="str">
        <f>Gia_Tbi!C6</f>
        <v>cái</v>
      </c>
      <c r="D428" s="8">
        <f>Gia_Tbi!D6</f>
        <v>2.2000000000000002</v>
      </c>
      <c r="E428" s="8">
        <f>Gia_Tbi!E6</f>
        <v>8</v>
      </c>
      <c r="F428" s="104">
        <f>Gia_Tbi!F6</f>
        <v>12000000</v>
      </c>
      <c r="G428" s="105">
        <f>Gia_Tbi!G6</f>
        <v>3000</v>
      </c>
      <c r="H428" s="203">
        <v>12.63</v>
      </c>
      <c r="I428" s="106">
        <f>G428*H428</f>
        <v>37890</v>
      </c>
      <c r="K428" s="99">
        <v>423</v>
      </c>
    </row>
    <row r="429" spans="1:11">
      <c r="A429" s="15">
        <v>4</v>
      </c>
      <c r="B429" s="7" t="s">
        <v>23</v>
      </c>
      <c r="C429" s="8" t="str">
        <f>Gia_Tbi!C7</f>
        <v>cái</v>
      </c>
      <c r="D429" s="8">
        <f>Gia_Tbi!D7</f>
        <v>1.5</v>
      </c>
      <c r="E429" s="8">
        <f>Gia_Tbi!E7</f>
        <v>8</v>
      </c>
      <c r="F429" s="104">
        <f>Gia_Tbi!F7</f>
        <v>44000000</v>
      </c>
      <c r="G429" s="105">
        <f>Gia_Tbi!G7</f>
        <v>11000</v>
      </c>
      <c r="H429" s="203">
        <v>2.95</v>
      </c>
      <c r="I429" s="106">
        <f>G429*H429</f>
        <v>32450.000000000004</v>
      </c>
      <c r="K429" s="99">
        <v>424</v>
      </c>
    </row>
    <row r="430" spans="1:11">
      <c r="A430" s="57">
        <v>5</v>
      </c>
      <c r="B430" s="58" t="s">
        <v>8</v>
      </c>
      <c r="C430" s="59" t="str">
        <f>Gia_Tbi!C10</f>
        <v>Cái</v>
      </c>
      <c r="D430" s="59">
        <f>Gia_Tbi!D10</f>
        <v>1</v>
      </c>
      <c r="E430" s="140">
        <f>Gia_Tbi!E10</f>
        <v>10</v>
      </c>
      <c r="F430" s="108">
        <f>Gia_Tbi!F10</f>
        <v>80000000</v>
      </c>
      <c r="G430" s="109">
        <f>Gia_Tbi!G10</f>
        <v>16000</v>
      </c>
      <c r="H430" s="197">
        <f>(H426*D426+H427*D427+H428*D428+H429*D429)*8</f>
        <v>388.32799999999997</v>
      </c>
      <c r="I430" s="144">
        <f>G430*H430*E430</f>
        <v>62132480</v>
      </c>
      <c r="K430" s="99">
        <v>425</v>
      </c>
    </row>
    <row r="431" spans="1:11" s="6" customFormat="1">
      <c r="A431" s="14" t="e">
        <f>#REF!</f>
        <v>#REF!</v>
      </c>
      <c r="B431" s="10" t="e">
        <f>#REF!</f>
        <v>#REF!</v>
      </c>
      <c r="C431" s="9"/>
      <c r="D431" s="9"/>
      <c r="E431" s="9"/>
      <c r="F431" s="115"/>
      <c r="G431" s="116"/>
      <c r="H431" s="199"/>
      <c r="I431" s="117"/>
      <c r="K431" s="99">
        <v>426</v>
      </c>
    </row>
    <row r="432" spans="1:11" s="6" customFormat="1">
      <c r="A432" s="14" t="e">
        <f>#REF!</f>
        <v>#REF!</v>
      </c>
      <c r="B432" s="10" t="e">
        <f>#REF!</f>
        <v>#REF!</v>
      </c>
      <c r="C432" s="9"/>
      <c r="D432" s="9"/>
      <c r="E432" s="9"/>
      <c r="F432" s="115"/>
      <c r="G432" s="116"/>
      <c r="H432" s="199"/>
      <c r="I432" s="117"/>
      <c r="K432" s="99">
        <v>427</v>
      </c>
    </row>
    <row r="433" spans="1:11" s="103" customFormat="1">
      <c r="A433" s="44" t="e">
        <f>#REF!</f>
        <v>#REF!</v>
      </c>
      <c r="B433" s="45" t="e">
        <f>#REF!</f>
        <v>#REF!</v>
      </c>
      <c r="C433" s="20"/>
      <c r="D433" s="20"/>
      <c r="E433" s="20"/>
      <c r="F433" s="100"/>
      <c r="G433" s="101"/>
      <c r="H433" s="133"/>
      <c r="I433" s="102"/>
      <c r="K433" s="99">
        <v>428</v>
      </c>
    </row>
    <row r="434" spans="1:11" s="103" customFormat="1">
      <c r="A434" s="44" t="e">
        <f>#REF!</f>
        <v>#REF!</v>
      </c>
      <c r="B434" s="45" t="e">
        <f>#REF!</f>
        <v>#REF!</v>
      </c>
      <c r="C434" s="20"/>
      <c r="D434" s="20"/>
      <c r="E434" s="20"/>
      <c r="F434" s="100"/>
      <c r="G434" s="101"/>
      <c r="H434" s="133"/>
      <c r="I434" s="102"/>
      <c r="K434" s="99">
        <v>429</v>
      </c>
    </row>
    <row r="435" spans="1:11" s="103" customFormat="1">
      <c r="A435" s="44" t="e">
        <f>#REF!</f>
        <v>#REF!</v>
      </c>
      <c r="B435" s="45" t="e">
        <f>#REF!</f>
        <v>#REF!</v>
      </c>
      <c r="C435" s="20"/>
      <c r="D435" s="20"/>
      <c r="E435" s="20"/>
      <c r="F435" s="100"/>
      <c r="G435" s="101"/>
      <c r="H435" s="133"/>
      <c r="I435" s="102">
        <f>SUM(I436:I439)</f>
        <v>1602.3999999999999</v>
      </c>
      <c r="K435" s="99">
        <v>430</v>
      </c>
    </row>
    <row r="436" spans="1:11">
      <c r="A436" s="15">
        <v>1</v>
      </c>
      <c r="B436" s="7" t="s">
        <v>73</v>
      </c>
      <c r="C436" s="8" t="str">
        <f>Gia_Tbi!C4</f>
        <v>cái</v>
      </c>
      <c r="D436" s="8">
        <f>Gia_Tbi!D4</f>
        <v>0.4</v>
      </c>
      <c r="E436" s="8">
        <f>Gia_Tbi!E4</f>
        <v>5</v>
      </c>
      <c r="F436" s="104">
        <f>Gia_Tbi!F4</f>
        <v>10000000</v>
      </c>
      <c r="G436" s="105">
        <f>Gia_Tbi!G4</f>
        <v>4000</v>
      </c>
      <c r="H436" s="203">
        <v>0.2918</v>
      </c>
      <c r="I436" s="106">
        <f>G436*H436</f>
        <v>1167.2</v>
      </c>
      <c r="K436" s="99">
        <v>431</v>
      </c>
    </row>
    <row r="437" spans="1:11">
      <c r="A437" s="15">
        <v>2</v>
      </c>
      <c r="B437" s="7" t="s">
        <v>74</v>
      </c>
      <c r="C437" s="8" t="str">
        <f>Gia_Tbi!C5</f>
        <v>cái</v>
      </c>
      <c r="D437" s="8">
        <f>Gia_Tbi!D5</f>
        <v>0.6</v>
      </c>
      <c r="E437" s="8">
        <f>Gia_Tbi!E5</f>
        <v>5</v>
      </c>
      <c r="F437" s="104">
        <f>Gia_Tbi!F5</f>
        <v>2500000</v>
      </c>
      <c r="G437" s="105">
        <f>Gia_Tbi!G5</f>
        <v>1000</v>
      </c>
      <c r="H437" s="203">
        <v>1.46E-2</v>
      </c>
      <c r="I437" s="106">
        <f>G437*H437</f>
        <v>14.6</v>
      </c>
      <c r="K437" s="99">
        <v>432</v>
      </c>
    </row>
    <row r="438" spans="1:11">
      <c r="A438" s="15">
        <v>3</v>
      </c>
      <c r="B438" s="7" t="s">
        <v>24</v>
      </c>
      <c r="C438" s="8" t="str">
        <f>Gia_Tbi!C6</f>
        <v>cái</v>
      </c>
      <c r="D438" s="8">
        <f>Gia_Tbi!D6</f>
        <v>2.2000000000000002</v>
      </c>
      <c r="E438" s="8">
        <f>Gia_Tbi!E6</f>
        <v>8</v>
      </c>
      <c r="F438" s="104">
        <f>Gia_Tbi!F6</f>
        <v>12000000</v>
      </c>
      <c r="G438" s="105">
        <f>Gia_Tbi!G6</f>
        <v>3000</v>
      </c>
      <c r="H438" s="203">
        <v>9.7299999999999998E-2</v>
      </c>
      <c r="I438" s="106">
        <f>G438*H438</f>
        <v>291.89999999999998</v>
      </c>
      <c r="K438" s="99">
        <v>433</v>
      </c>
    </row>
    <row r="439" spans="1:11">
      <c r="A439" s="15">
        <v>4</v>
      </c>
      <c r="B439" s="7" t="s">
        <v>23</v>
      </c>
      <c r="C439" s="8" t="str">
        <f>Gia_Tbi!C7</f>
        <v>cái</v>
      </c>
      <c r="D439" s="8">
        <f>Gia_Tbi!D7</f>
        <v>1.5</v>
      </c>
      <c r="E439" s="8">
        <f>Gia_Tbi!E7</f>
        <v>8</v>
      </c>
      <c r="F439" s="104">
        <f>Gia_Tbi!F7</f>
        <v>44000000</v>
      </c>
      <c r="G439" s="105">
        <f>Gia_Tbi!G7</f>
        <v>11000</v>
      </c>
      <c r="H439" s="203">
        <v>1.17E-2</v>
      </c>
      <c r="I439" s="106">
        <f>G439*H439</f>
        <v>128.70000000000002</v>
      </c>
      <c r="K439" s="99">
        <v>434</v>
      </c>
    </row>
    <row r="440" spans="1:11">
      <c r="A440" s="57">
        <v>5</v>
      </c>
      <c r="B440" s="58" t="s">
        <v>8</v>
      </c>
      <c r="C440" s="59" t="str">
        <f>Gia_Tbi!C10</f>
        <v>Cái</v>
      </c>
      <c r="D440" s="59">
        <f>Gia_Tbi!D10</f>
        <v>1</v>
      </c>
      <c r="E440" s="140">
        <f>Gia_Tbi!E10</f>
        <v>10</v>
      </c>
      <c r="F440" s="108">
        <f>Gia_Tbi!F10</f>
        <v>80000000</v>
      </c>
      <c r="G440" s="109">
        <f>Gia_Tbi!G10</f>
        <v>16000</v>
      </c>
      <c r="H440" s="197">
        <f>(H436*D436+H437*D437+H438*D438+H439*D439)*8</f>
        <v>2.8567200000000001</v>
      </c>
      <c r="I440" s="144">
        <f>G440*H440*E440</f>
        <v>457075.20000000007</v>
      </c>
      <c r="K440" s="99">
        <v>435</v>
      </c>
    </row>
    <row r="441" spans="1:11" s="103" customFormat="1">
      <c r="A441" s="44" t="e">
        <f>#REF!</f>
        <v>#REF!</v>
      </c>
      <c r="B441" s="45" t="e">
        <f>#REF!</f>
        <v>#REF!</v>
      </c>
      <c r="C441" s="20"/>
      <c r="D441" s="20"/>
      <c r="E441" s="20"/>
      <c r="F441" s="100"/>
      <c r="G441" s="101"/>
      <c r="H441" s="133"/>
      <c r="I441" s="102">
        <f>SUM(I442:I445)</f>
        <v>1307</v>
      </c>
      <c r="K441" s="99">
        <v>436</v>
      </c>
    </row>
    <row r="442" spans="1:11">
      <c r="A442" s="15">
        <v>1</v>
      </c>
      <c r="B442" s="7" t="s">
        <v>73</v>
      </c>
      <c r="C442" s="8" t="str">
        <f>Gia_Tbi!C4</f>
        <v>cái</v>
      </c>
      <c r="D442" s="8">
        <f>Gia_Tbi!D4</f>
        <v>0.4</v>
      </c>
      <c r="E442" s="8">
        <f>Gia_Tbi!E4</f>
        <v>5</v>
      </c>
      <c r="F442" s="104">
        <f>Gia_Tbi!F4</f>
        <v>10000000</v>
      </c>
      <c r="G442" s="105">
        <f>Gia_Tbi!G4</f>
        <v>4000</v>
      </c>
      <c r="H442" s="203">
        <v>0.23810000000000001</v>
      </c>
      <c r="I442" s="106">
        <f>G442*H442</f>
        <v>952.4</v>
      </c>
      <c r="K442" s="99">
        <v>437</v>
      </c>
    </row>
    <row r="443" spans="1:11">
      <c r="A443" s="15">
        <v>2</v>
      </c>
      <c r="B443" s="7" t="s">
        <v>74</v>
      </c>
      <c r="C443" s="8" t="str">
        <f>Gia_Tbi!C5</f>
        <v>cái</v>
      </c>
      <c r="D443" s="8">
        <f>Gia_Tbi!D5</f>
        <v>0.6</v>
      </c>
      <c r="E443" s="8">
        <f>Gia_Tbi!E5</f>
        <v>5</v>
      </c>
      <c r="F443" s="104">
        <f>Gia_Tbi!F5</f>
        <v>2500000</v>
      </c>
      <c r="G443" s="105">
        <f>Gia_Tbi!G5</f>
        <v>1000</v>
      </c>
      <c r="H443" s="203">
        <v>1.1900000000000001E-2</v>
      </c>
      <c r="I443" s="106">
        <f>G443*H443</f>
        <v>11.9</v>
      </c>
      <c r="K443" s="99">
        <v>438</v>
      </c>
    </row>
    <row r="444" spans="1:11">
      <c r="A444" s="15">
        <v>3</v>
      </c>
      <c r="B444" s="7" t="s">
        <v>24</v>
      </c>
      <c r="C444" s="8" t="str">
        <f>Gia_Tbi!C6</f>
        <v>cái</v>
      </c>
      <c r="D444" s="8">
        <f>Gia_Tbi!D6</f>
        <v>2.2000000000000002</v>
      </c>
      <c r="E444" s="8">
        <f>Gia_Tbi!E6</f>
        <v>8</v>
      </c>
      <c r="F444" s="104">
        <f>Gia_Tbi!F6</f>
        <v>12000000</v>
      </c>
      <c r="G444" s="105">
        <f>Gia_Tbi!G6</f>
        <v>3000</v>
      </c>
      <c r="H444" s="203">
        <v>7.9399999999999998E-2</v>
      </c>
      <c r="I444" s="106">
        <f>G444*H444</f>
        <v>238.2</v>
      </c>
      <c r="K444" s="99">
        <v>439</v>
      </c>
    </row>
    <row r="445" spans="1:11">
      <c r="A445" s="15">
        <v>4</v>
      </c>
      <c r="B445" s="7" t="s">
        <v>23</v>
      </c>
      <c r="C445" s="8" t="str">
        <f>Gia_Tbi!C7</f>
        <v>cái</v>
      </c>
      <c r="D445" s="8">
        <f>Gia_Tbi!D7</f>
        <v>1.5</v>
      </c>
      <c r="E445" s="8">
        <f>Gia_Tbi!E7</f>
        <v>8</v>
      </c>
      <c r="F445" s="104">
        <f>Gia_Tbi!F7</f>
        <v>44000000</v>
      </c>
      <c r="G445" s="105">
        <f>Gia_Tbi!G7</f>
        <v>11000</v>
      </c>
      <c r="H445" s="203">
        <v>9.4999999999999998E-3</v>
      </c>
      <c r="I445" s="106">
        <f>G445*H445</f>
        <v>104.5</v>
      </c>
      <c r="K445" s="99">
        <v>440</v>
      </c>
    </row>
    <row r="446" spans="1:11">
      <c r="A446" s="57">
        <v>5</v>
      </c>
      <c r="B446" s="58" t="s">
        <v>8</v>
      </c>
      <c r="C446" s="59" t="str">
        <f>Gia_Tbi!C10</f>
        <v>Cái</v>
      </c>
      <c r="D446" s="59">
        <f>Gia_Tbi!D10</f>
        <v>1</v>
      </c>
      <c r="E446" s="140">
        <f>Gia_Tbi!E10</f>
        <v>10</v>
      </c>
      <c r="F446" s="108">
        <f>Gia_Tbi!F10</f>
        <v>80000000</v>
      </c>
      <c r="G446" s="109">
        <f>Gia_Tbi!G10</f>
        <v>16000</v>
      </c>
      <c r="H446" s="197">
        <f>(H442*D442+H443*D443+H444*D444+H445*D445)*8</f>
        <v>2.3304799999999997</v>
      </c>
      <c r="I446" s="144">
        <f>G446*H446*E446</f>
        <v>372876.79999999993</v>
      </c>
      <c r="K446" s="99">
        <v>441</v>
      </c>
    </row>
    <row r="447" spans="1:11" s="103" customFormat="1">
      <c r="A447" s="44" t="e">
        <f>#REF!</f>
        <v>#REF!</v>
      </c>
      <c r="B447" s="45" t="e">
        <f>#REF!</f>
        <v>#REF!</v>
      </c>
      <c r="C447" s="20"/>
      <c r="D447" s="20"/>
      <c r="E447" s="20"/>
      <c r="F447" s="100"/>
      <c r="G447" s="101"/>
      <c r="H447" s="133"/>
      <c r="I447" s="102">
        <f>SUM(I448:I451)</f>
        <v>695.80000000000007</v>
      </c>
      <c r="K447" s="99">
        <v>442</v>
      </c>
    </row>
    <row r="448" spans="1:11">
      <c r="A448" s="15">
        <v>1</v>
      </c>
      <c r="B448" s="7" t="s">
        <v>73</v>
      </c>
      <c r="C448" s="8" t="str">
        <f>Gia_Tbi!C4</f>
        <v>cái</v>
      </c>
      <c r="D448" s="8">
        <f>Gia_Tbi!D4</f>
        <v>0.4</v>
      </c>
      <c r="E448" s="8">
        <f>Gia_Tbi!E4</f>
        <v>5</v>
      </c>
      <c r="F448" s="104">
        <f>Gia_Tbi!F4</f>
        <v>10000000</v>
      </c>
      <c r="G448" s="105">
        <f>Gia_Tbi!G4</f>
        <v>4000</v>
      </c>
      <c r="H448" s="203">
        <v>0.12670000000000001</v>
      </c>
      <c r="I448" s="106">
        <f>G448*H448</f>
        <v>506.8</v>
      </c>
      <c r="K448" s="99">
        <v>443</v>
      </c>
    </row>
    <row r="449" spans="1:11">
      <c r="A449" s="15">
        <v>2</v>
      </c>
      <c r="B449" s="7" t="s">
        <v>74</v>
      </c>
      <c r="C449" s="8" t="str">
        <f>Gia_Tbi!C5</f>
        <v>cái</v>
      </c>
      <c r="D449" s="8">
        <f>Gia_Tbi!D5</f>
        <v>0.6</v>
      </c>
      <c r="E449" s="8">
        <f>Gia_Tbi!E5</f>
        <v>5</v>
      </c>
      <c r="F449" s="104">
        <f>Gia_Tbi!F5</f>
        <v>2500000</v>
      </c>
      <c r="G449" s="105">
        <f>Gia_Tbi!G5</f>
        <v>1000</v>
      </c>
      <c r="H449" s="203">
        <v>6.3E-3</v>
      </c>
      <c r="I449" s="106">
        <f>G449*H449</f>
        <v>6.3</v>
      </c>
      <c r="K449" s="99">
        <v>444</v>
      </c>
    </row>
    <row r="450" spans="1:11">
      <c r="A450" s="15">
        <v>3</v>
      </c>
      <c r="B450" s="7" t="s">
        <v>24</v>
      </c>
      <c r="C450" s="8" t="str">
        <f>Gia_Tbi!C6</f>
        <v>cái</v>
      </c>
      <c r="D450" s="8">
        <f>Gia_Tbi!D6</f>
        <v>2.2000000000000002</v>
      </c>
      <c r="E450" s="8">
        <f>Gia_Tbi!E6</f>
        <v>8</v>
      </c>
      <c r="F450" s="104">
        <f>Gia_Tbi!F6</f>
        <v>12000000</v>
      </c>
      <c r="G450" s="105">
        <f>Gia_Tbi!G6</f>
        <v>3000</v>
      </c>
      <c r="H450" s="203">
        <v>4.2200000000000001E-2</v>
      </c>
      <c r="I450" s="106">
        <f>G450*H450</f>
        <v>126.60000000000001</v>
      </c>
      <c r="K450" s="99">
        <v>445</v>
      </c>
    </row>
    <row r="451" spans="1:11">
      <c r="A451" s="15">
        <v>4</v>
      </c>
      <c r="B451" s="7" t="s">
        <v>23</v>
      </c>
      <c r="C451" s="8" t="str">
        <f>Gia_Tbi!C7</f>
        <v>cái</v>
      </c>
      <c r="D451" s="8">
        <f>Gia_Tbi!D7</f>
        <v>1.5</v>
      </c>
      <c r="E451" s="8">
        <f>Gia_Tbi!E7</f>
        <v>8</v>
      </c>
      <c r="F451" s="104">
        <f>Gia_Tbi!F7</f>
        <v>44000000</v>
      </c>
      <c r="G451" s="105">
        <f>Gia_Tbi!G7</f>
        <v>11000</v>
      </c>
      <c r="H451" s="203">
        <v>5.1000000000000004E-3</v>
      </c>
      <c r="I451" s="106">
        <f>G451*H451</f>
        <v>56.1</v>
      </c>
      <c r="K451" s="99">
        <v>446</v>
      </c>
    </row>
    <row r="452" spans="1:11">
      <c r="A452" s="57">
        <v>5</v>
      </c>
      <c r="B452" s="58" t="s">
        <v>8</v>
      </c>
      <c r="C452" s="59" t="str">
        <f>Gia_Tbi!C10</f>
        <v>Cái</v>
      </c>
      <c r="D452" s="59">
        <f>Gia_Tbi!D10</f>
        <v>1</v>
      </c>
      <c r="E452" s="140">
        <f>Gia_Tbi!E10</f>
        <v>10</v>
      </c>
      <c r="F452" s="108">
        <f>Gia_Tbi!F10</f>
        <v>80000000</v>
      </c>
      <c r="G452" s="109">
        <f>Gia_Tbi!G10</f>
        <v>16000</v>
      </c>
      <c r="H452" s="197">
        <f>(H448*D448+H449*D449+H450*D450+H451*D451)*8</f>
        <v>1.2396</v>
      </c>
      <c r="I452" s="144">
        <f>G452*H452*E452</f>
        <v>198336.00000000003</v>
      </c>
      <c r="K452" s="99">
        <v>447</v>
      </c>
    </row>
    <row r="453" spans="1:11" s="103" customFormat="1">
      <c r="A453" s="44" t="e">
        <f>#REF!</f>
        <v>#REF!</v>
      </c>
      <c r="B453" s="45" t="e">
        <f>#REF!</f>
        <v>#REF!</v>
      </c>
      <c r="C453" s="20"/>
      <c r="D453" s="20"/>
      <c r="E453" s="20"/>
      <c r="F453" s="100"/>
      <c r="G453" s="101"/>
      <c r="H453" s="133"/>
      <c r="I453" s="102"/>
      <c r="K453" s="99">
        <v>448</v>
      </c>
    </row>
    <row r="454" spans="1:11" s="103" customFormat="1">
      <c r="A454" s="44" t="e">
        <f>#REF!</f>
        <v>#REF!</v>
      </c>
      <c r="B454" s="45" t="e">
        <f>#REF!</f>
        <v>#REF!</v>
      </c>
      <c r="C454" s="20"/>
      <c r="D454" s="20"/>
      <c r="E454" s="20"/>
      <c r="F454" s="100"/>
      <c r="G454" s="101"/>
      <c r="H454" s="133"/>
      <c r="I454" s="102">
        <f>SUM(I455:I458)</f>
        <v>1096.5999999999999</v>
      </c>
      <c r="K454" s="99">
        <v>449</v>
      </c>
    </row>
    <row r="455" spans="1:11">
      <c r="A455" s="15">
        <v>1</v>
      </c>
      <c r="B455" s="7" t="s">
        <v>73</v>
      </c>
      <c r="C455" s="8" t="str">
        <f>Gia_Tbi!C4</f>
        <v>cái</v>
      </c>
      <c r="D455" s="8">
        <f>Gia_Tbi!D4</f>
        <v>0.4</v>
      </c>
      <c r="E455" s="8">
        <f>Gia_Tbi!E4</f>
        <v>5</v>
      </c>
      <c r="F455" s="104">
        <f>Gia_Tbi!F4</f>
        <v>10000000</v>
      </c>
      <c r="G455" s="105">
        <f>Gia_Tbi!G4</f>
        <v>4000</v>
      </c>
      <c r="H455" s="203">
        <v>0.19969999999999999</v>
      </c>
      <c r="I455" s="106">
        <f>G455*H455</f>
        <v>798.8</v>
      </c>
      <c r="K455" s="99">
        <v>450</v>
      </c>
    </row>
    <row r="456" spans="1:11">
      <c r="A456" s="15">
        <v>2</v>
      </c>
      <c r="B456" s="7" t="s">
        <v>74</v>
      </c>
      <c r="C456" s="8" t="str">
        <f>Gia_Tbi!C5</f>
        <v>cái</v>
      </c>
      <c r="D456" s="8">
        <f>Gia_Tbi!D5</f>
        <v>0.6</v>
      </c>
      <c r="E456" s="8">
        <f>Gia_Tbi!E5</f>
        <v>5</v>
      </c>
      <c r="F456" s="104">
        <f>Gia_Tbi!F5</f>
        <v>2500000</v>
      </c>
      <c r="G456" s="105">
        <f>Gia_Tbi!G5</f>
        <v>1000</v>
      </c>
      <c r="H456" s="203">
        <v>0.01</v>
      </c>
      <c r="I456" s="106">
        <f>G456*H456</f>
        <v>10</v>
      </c>
      <c r="K456" s="99">
        <v>451</v>
      </c>
    </row>
    <row r="457" spans="1:11">
      <c r="A457" s="15">
        <v>3</v>
      </c>
      <c r="B457" s="7" t="s">
        <v>24</v>
      </c>
      <c r="C457" s="8" t="str">
        <f>Gia_Tbi!C6</f>
        <v>cái</v>
      </c>
      <c r="D457" s="8">
        <f>Gia_Tbi!D6</f>
        <v>2.2000000000000002</v>
      </c>
      <c r="E457" s="8">
        <f>Gia_Tbi!E6</f>
        <v>8</v>
      </c>
      <c r="F457" s="104">
        <f>Gia_Tbi!F6</f>
        <v>12000000</v>
      </c>
      <c r="G457" s="105">
        <f>Gia_Tbi!G6</f>
        <v>3000</v>
      </c>
      <c r="H457" s="203">
        <v>6.6600000000000006E-2</v>
      </c>
      <c r="I457" s="106">
        <f>G457*H457</f>
        <v>199.8</v>
      </c>
      <c r="K457" s="99">
        <v>452</v>
      </c>
    </row>
    <row r="458" spans="1:11">
      <c r="A458" s="15">
        <v>4</v>
      </c>
      <c r="B458" s="7" t="s">
        <v>23</v>
      </c>
      <c r="C458" s="8" t="str">
        <f>Gia_Tbi!C7</f>
        <v>cái</v>
      </c>
      <c r="D458" s="8">
        <f>Gia_Tbi!D7</f>
        <v>1.5</v>
      </c>
      <c r="E458" s="8">
        <f>Gia_Tbi!E7</f>
        <v>8</v>
      </c>
      <c r="F458" s="104">
        <f>Gia_Tbi!F7</f>
        <v>44000000</v>
      </c>
      <c r="G458" s="105">
        <f>Gia_Tbi!G7</f>
        <v>11000</v>
      </c>
      <c r="H458" s="203">
        <v>8.0000000000000002E-3</v>
      </c>
      <c r="I458" s="106">
        <f>G458*H458</f>
        <v>88</v>
      </c>
      <c r="K458" s="99">
        <v>453</v>
      </c>
    </row>
    <row r="459" spans="1:11">
      <c r="A459" s="57">
        <v>5</v>
      </c>
      <c r="B459" s="58" t="s">
        <v>8</v>
      </c>
      <c r="C459" s="59" t="str">
        <f>Gia_Tbi!C10</f>
        <v>Cái</v>
      </c>
      <c r="D459" s="59">
        <f>Gia_Tbi!D10</f>
        <v>1</v>
      </c>
      <c r="E459" s="140">
        <f>Gia_Tbi!E10</f>
        <v>10</v>
      </c>
      <c r="F459" s="108">
        <f>Gia_Tbi!F10</f>
        <v>80000000</v>
      </c>
      <c r="G459" s="109">
        <f>Gia_Tbi!G10</f>
        <v>16000</v>
      </c>
      <c r="H459" s="197">
        <f>(H455*D455+H456*D456+H457*D457+H458*D458)*8</f>
        <v>1.9552000000000005</v>
      </c>
      <c r="I459" s="144">
        <f>G459*H459*E459</f>
        <v>312832.00000000006</v>
      </c>
      <c r="K459" s="99">
        <v>454</v>
      </c>
    </row>
    <row r="460" spans="1:11" s="103" customFormat="1">
      <c r="A460" s="44" t="e">
        <f>#REF!</f>
        <v>#REF!</v>
      </c>
      <c r="B460" s="45" t="e">
        <f>#REF!</f>
        <v>#REF!</v>
      </c>
      <c r="C460" s="20"/>
      <c r="D460" s="20"/>
      <c r="E460" s="20"/>
      <c r="F460" s="100"/>
      <c r="G460" s="101"/>
      <c r="H460" s="133"/>
      <c r="I460" s="102">
        <f>SUM(I461:I464)</f>
        <v>190</v>
      </c>
      <c r="K460" s="99">
        <v>455</v>
      </c>
    </row>
    <row r="461" spans="1:11">
      <c r="A461" s="15">
        <v>1</v>
      </c>
      <c r="B461" s="7" t="s">
        <v>73</v>
      </c>
      <c r="C461" s="8" t="str">
        <f>Gia_Tbi!C4</f>
        <v>cái</v>
      </c>
      <c r="D461" s="8">
        <f>Gia_Tbi!D4</f>
        <v>0.4</v>
      </c>
      <c r="E461" s="8">
        <f>Gia_Tbi!E4</f>
        <v>5</v>
      </c>
      <c r="F461" s="104">
        <f>Gia_Tbi!F4</f>
        <v>10000000</v>
      </c>
      <c r="G461" s="105">
        <f>Gia_Tbi!G4</f>
        <v>4000</v>
      </c>
      <c r="H461" s="203">
        <v>3.4599999999999999E-2</v>
      </c>
      <c r="I461" s="106">
        <f>G461*H461</f>
        <v>138.4</v>
      </c>
      <c r="K461" s="99">
        <v>456</v>
      </c>
    </row>
    <row r="462" spans="1:11">
      <c r="A462" s="15">
        <v>2</v>
      </c>
      <c r="B462" s="7" t="s">
        <v>74</v>
      </c>
      <c r="C462" s="8" t="str">
        <f>Gia_Tbi!C5</f>
        <v>cái</v>
      </c>
      <c r="D462" s="8">
        <f>Gia_Tbi!D5</f>
        <v>0.6</v>
      </c>
      <c r="E462" s="8">
        <f>Gia_Tbi!E5</f>
        <v>5</v>
      </c>
      <c r="F462" s="104">
        <f>Gia_Tbi!F5</f>
        <v>2500000</v>
      </c>
      <c r="G462" s="105">
        <f>Gia_Tbi!G5</f>
        <v>1000</v>
      </c>
      <c r="H462" s="203">
        <v>1.6999999999999999E-3</v>
      </c>
      <c r="I462" s="106">
        <f>G462*H462</f>
        <v>1.7</v>
      </c>
      <c r="K462" s="99">
        <v>457</v>
      </c>
    </row>
    <row r="463" spans="1:11">
      <c r="A463" s="15">
        <v>3</v>
      </c>
      <c r="B463" s="7" t="s">
        <v>24</v>
      </c>
      <c r="C463" s="8" t="str">
        <f>Gia_Tbi!C6</f>
        <v>cái</v>
      </c>
      <c r="D463" s="8">
        <f>Gia_Tbi!D6</f>
        <v>2.2000000000000002</v>
      </c>
      <c r="E463" s="8">
        <f>Gia_Tbi!E6</f>
        <v>8</v>
      </c>
      <c r="F463" s="104">
        <f>Gia_Tbi!F6</f>
        <v>12000000</v>
      </c>
      <c r="G463" s="105">
        <f>Gia_Tbi!G6</f>
        <v>3000</v>
      </c>
      <c r="H463" s="203">
        <v>1.15E-2</v>
      </c>
      <c r="I463" s="106">
        <f>G463*H463</f>
        <v>34.5</v>
      </c>
      <c r="K463" s="99">
        <v>458</v>
      </c>
    </row>
    <row r="464" spans="1:11">
      <c r="A464" s="15">
        <v>4</v>
      </c>
      <c r="B464" s="7" t="s">
        <v>23</v>
      </c>
      <c r="C464" s="8" t="str">
        <f>Gia_Tbi!C7</f>
        <v>cái</v>
      </c>
      <c r="D464" s="8">
        <f>Gia_Tbi!D7</f>
        <v>1.5</v>
      </c>
      <c r="E464" s="8">
        <f>Gia_Tbi!E7</f>
        <v>8</v>
      </c>
      <c r="F464" s="104">
        <f>Gia_Tbi!F7</f>
        <v>44000000</v>
      </c>
      <c r="G464" s="105">
        <f>Gia_Tbi!G7</f>
        <v>11000</v>
      </c>
      <c r="H464" s="203">
        <v>1.4E-3</v>
      </c>
      <c r="I464" s="106">
        <f>G464*H464</f>
        <v>15.4</v>
      </c>
      <c r="K464" s="99">
        <v>459</v>
      </c>
    </row>
    <row r="465" spans="1:11">
      <c r="A465" s="57">
        <v>5</v>
      </c>
      <c r="B465" s="58" t="s">
        <v>8</v>
      </c>
      <c r="C465" s="59" t="str">
        <f>Gia_Tbi!C10</f>
        <v>Cái</v>
      </c>
      <c r="D465" s="59">
        <f>Gia_Tbi!D10</f>
        <v>1</v>
      </c>
      <c r="E465" s="140">
        <f>Gia_Tbi!E10</f>
        <v>10</v>
      </c>
      <c r="F465" s="108">
        <f>Gia_Tbi!F10</f>
        <v>80000000</v>
      </c>
      <c r="G465" s="109">
        <f>Gia_Tbi!G10</f>
        <v>16000</v>
      </c>
      <c r="H465" s="197">
        <f>(H461*D461+H462*D462+H463*D463+H464*D464)*8</f>
        <v>0.33807999999999999</v>
      </c>
      <c r="I465" s="144">
        <f>G465*H465*E465</f>
        <v>54092.799999999996</v>
      </c>
      <c r="K465" s="99">
        <v>460</v>
      </c>
    </row>
    <row r="466" spans="1:11" s="103" customFormat="1">
      <c r="A466" s="44" t="e">
        <f>#REF!</f>
        <v>#REF!</v>
      </c>
      <c r="B466" s="45" t="e">
        <f>#REF!</f>
        <v>#REF!</v>
      </c>
      <c r="C466" s="20"/>
      <c r="D466" s="20"/>
      <c r="E466" s="20"/>
      <c r="F466" s="100"/>
      <c r="G466" s="101"/>
      <c r="H466" s="133"/>
      <c r="I466" s="102">
        <f>I447</f>
        <v>695.80000000000007</v>
      </c>
      <c r="K466" s="99">
        <v>461</v>
      </c>
    </row>
    <row r="467" spans="1:11" s="103" customFormat="1">
      <c r="A467" s="44" t="e">
        <f>#REF!</f>
        <v>#REF!</v>
      </c>
      <c r="B467" s="45" t="e">
        <f>#REF!</f>
        <v>#REF!</v>
      </c>
      <c r="C467" s="20"/>
      <c r="D467" s="20"/>
      <c r="E467" s="20"/>
      <c r="F467" s="100"/>
      <c r="G467" s="101"/>
      <c r="H467" s="133"/>
      <c r="I467" s="102">
        <f>SUM(I468:I471)</f>
        <v>484.29999999999995</v>
      </c>
      <c r="K467" s="99">
        <v>462</v>
      </c>
    </row>
    <row r="468" spans="1:11">
      <c r="A468" s="15">
        <v>1</v>
      </c>
      <c r="B468" s="7" t="s">
        <v>73</v>
      </c>
      <c r="C468" s="8" t="str">
        <f>Gia_Tbi!C4</f>
        <v>cái</v>
      </c>
      <c r="D468" s="8">
        <f>Gia_Tbi!D4</f>
        <v>0.4</v>
      </c>
      <c r="E468" s="8">
        <f>Gia_Tbi!E4</f>
        <v>5</v>
      </c>
      <c r="F468" s="104">
        <f>Gia_Tbi!F4</f>
        <v>10000000</v>
      </c>
      <c r="G468" s="105">
        <f>Gia_Tbi!G4</f>
        <v>4000</v>
      </c>
      <c r="H468" s="203">
        <v>8.8300000000000003E-2</v>
      </c>
      <c r="I468" s="106">
        <f>G468*H468</f>
        <v>353.2</v>
      </c>
      <c r="K468" s="99">
        <v>463</v>
      </c>
    </row>
    <row r="469" spans="1:11">
      <c r="A469" s="15">
        <v>2</v>
      </c>
      <c r="B469" s="7" t="s">
        <v>74</v>
      </c>
      <c r="C469" s="8" t="str">
        <f>Gia_Tbi!C5</f>
        <v>cái</v>
      </c>
      <c r="D469" s="8">
        <f>Gia_Tbi!D5</f>
        <v>0.6</v>
      </c>
      <c r="E469" s="8">
        <f>Gia_Tbi!E5</f>
        <v>5</v>
      </c>
      <c r="F469" s="104">
        <f>Gia_Tbi!F5</f>
        <v>2500000</v>
      </c>
      <c r="G469" s="105">
        <f>Gia_Tbi!G5</f>
        <v>1000</v>
      </c>
      <c r="H469" s="203">
        <v>4.4000000000000003E-3</v>
      </c>
      <c r="I469" s="106">
        <f>G469*H469</f>
        <v>4.4000000000000004</v>
      </c>
      <c r="K469" s="99">
        <v>464</v>
      </c>
    </row>
    <row r="470" spans="1:11">
      <c r="A470" s="15">
        <v>3</v>
      </c>
      <c r="B470" s="7" t="s">
        <v>24</v>
      </c>
      <c r="C470" s="8" t="str">
        <f>Gia_Tbi!C6</f>
        <v>cái</v>
      </c>
      <c r="D470" s="8">
        <f>Gia_Tbi!D6</f>
        <v>2.2000000000000002</v>
      </c>
      <c r="E470" s="8">
        <f>Gia_Tbi!E6</f>
        <v>8</v>
      </c>
      <c r="F470" s="104">
        <f>Gia_Tbi!F6</f>
        <v>12000000</v>
      </c>
      <c r="G470" s="105">
        <f>Gia_Tbi!G6</f>
        <v>3000</v>
      </c>
      <c r="H470" s="203">
        <v>2.9399999999999999E-2</v>
      </c>
      <c r="I470" s="106">
        <f>G470*H470</f>
        <v>88.2</v>
      </c>
      <c r="K470" s="99">
        <v>465</v>
      </c>
    </row>
    <row r="471" spans="1:11">
      <c r="A471" s="15">
        <v>4</v>
      </c>
      <c r="B471" s="7" t="s">
        <v>23</v>
      </c>
      <c r="C471" s="8" t="str">
        <f>Gia_Tbi!C7</f>
        <v>cái</v>
      </c>
      <c r="D471" s="8">
        <f>Gia_Tbi!D7</f>
        <v>1.5</v>
      </c>
      <c r="E471" s="8">
        <f>Gia_Tbi!E7</f>
        <v>8</v>
      </c>
      <c r="F471" s="104">
        <f>Gia_Tbi!F7</f>
        <v>44000000</v>
      </c>
      <c r="G471" s="105">
        <f>Gia_Tbi!G7</f>
        <v>11000</v>
      </c>
      <c r="H471" s="203">
        <v>3.5000000000000001E-3</v>
      </c>
      <c r="I471" s="106">
        <f>G471*H471</f>
        <v>38.5</v>
      </c>
      <c r="K471" s="99">
        <v>466</v>
      </c>
    </row>
    <row r="472" spans="1:11">
      <c r="A472" s="57">
        <v>5</v>
      </c>
      <c r="B472" s="58" t="s">
        <v>8</v>
      </c>
      <c r="C472" s="59" t="str">
        <f>Gia_Tbi!C10</f>
        <v>Cái</v>
      </c>
      <c r="D472" s="59">
        <f>Gia_Tbi!D10</f>
        <v>1</v>
      </c>
      <c r="E472" s="140">
        <f>Gia_Tbi!E10</f>
        <v>10</v>
      </c>
      <c r="F472" s="108">
        <f>Gia_Tbi!F10</f>
        <v>80000000</v>
      </c>
      <c r="G472" s="109">
        <f>Gia_Tbi!G10</f>
        <v>16000</v>
      </c>
      <c r="H472" s="197">
        <f>(H468*D468+H469*D469+H470*D470+H471*D471)*8</f>
        <v>0.86312000000000011</v>
      </c>
      <c r="I472" s="144">
        <f>G472*H472*E472</f>
        <v>138099.20000000001</v>
      </c>
      <c r="K472" s="99">
        <v>467</v>
      </c>
    </row>
    <row r="473" spans="1:11" s="6" customFormat="1">
      <c r="A473" s="14" t="e">
        <f>#REF!</f>
        <v>#REF!</v>
      </c>
      <c r="B473" s="10" t="e">
        <f>#REF!</f>
        <v>#REF!</v>
      </c>
      <c r="C473" s="9"/>
      <c r="D473" s="9"/>
      <c r="E473" s="9"/>
      <c r="F473" s="115"/>
      <c r="G473" s="116"/>
      <c r="H473" s="199"/>
      <c r="I473" s="117"/>
      <c r="K473" s="99">
        <v>468</v>
      </c>
    </row>
    <row r="474" spans="1:11">
      <c r="A474" s="15" t="e">
        <f>#REF!</f>
        <v>#REF!</v>
      </c>
      <c r="B474" s="7" t="e">
        <f>#REF!</f>
        <v>#REF!</v>
      </c>
      <c r="C474" s="8"/>
      <c r="D474" s="8"/>
      <c r="E474" s="8"/>
      <c r="F474" s="104"/>
      <c r="G474" s="105"/>
      <c r="H474" s="196"/>
      <c r="I474" s="106"/>
      <c r="K474" s="99">
        <v>469</v>
      </c>
    </row>
    <row r="475" spans="1:11">
      <c r="A475" s="15" t="e">
        <f>#REF!</f>
        <v>#REF!</v>
      </c>
      <c r="B475" s="7" t="e">
        <f>#REF!</f>
        <v>#REF!</v>
      </c>
      <c r="C475" s="8"/>
      <c r="D475" s="8"/>
      <c r="E475" s="8"/>
      <c r="F475" s="104"/>
      <c r="G475" s="105"/>
      <c r="H475" s="196"/>
      <c r="I475" s="106"/>
      <c r="K475" s="99">
        <v>470</v>
      </c>
    </row>
    <row r="476" spans="1:11">
      <c r="A476" s="15" t="e">
        <f>#REF!</f>
        <v>#REF!</v>
      </c>
      <c r="B476" s="7" t="e">
        <f>#REF!</f>
        <v>#REF!</v>
      </c>
      <c r="C476" s="8"/>
      <c r="D476" s="8"/>
      <c r="E476" s="8"/>
      <c r="F476" s="104"/>
      <c r="G476" s="105"/>
      <c r="H476" s="196"/>
      <c r="I476" s="106"/>
      <c r="K476" s="99">
        <v>471</v>
      </c>
    </row>
    <row r="477" spans="1:11">
      <c r="A477" s="15" t="e">
        <f>#REF!</f>
        <v>#REF!</v>
      </c>
      <c r="B477" s="7" t="e">
        <f>#REF!</f>
        <v>#REF!</v>
      </c>
      <c r="C477" s="8"/>
      <c r="D477" s="8"/>
      <c r="E477" s="8"/>
      <c r="F477" s="104"/>
      <c r="G477" s="105"/>
      <c r="H477" s="196"/>
      <c r="I477" s="106">
        <f>I435</f>
        <v>1602.3999999999999</v>
      </c>
      <c r="K477" s="99">
        <v>472</v>
      </c>
    </row>
    <row r="478" spans="1:11">
      <c r="A478" s="57"/>
      <c r="B478" s="58" t="s">
        <v>8</v>
      </c>
      <c r="C478" s="59" t="str">
        <f>Gia_Tbi!C10</f>
        <v>Cái</v>
      </c>
      <c r="D478" s="59">
        <f>Gia_Tbi!D10</f>
        <v>1</v>
      </c>
      <c r="E478" s="140">
        <f>Gia_Tbi!E10</f>
        <v>10</v>
      </c>
      <c r="F478" s="108">
        <f>Gia_Tbi!F10</f>
        <v>80000000</v>
      </c>
      <c r="G478" s="109">
        <f>Gia_Tbi!G10</f>
        <v>16000</v>
      </c>
      <c r="H478" s="197"/>
      <c r="I478" s="110">
        <f>I440</f>
        <v>457075.20000000007</v>
      </c>
      <c r="K478" s="99">
        <v>473</v>
      </c>
    </row>
    <row r="479" spans="1:11">
      <c r="A479" s="15" t="e">
        <f>#REF!</f>
        <v>#REF!</v>
      </c>
      <c r="B479" s="7" t="e">
        <f>#REF!</f>
        <v>#REF!</v>
      </c>
      <c r="C479" s="8"/>
      <c r="D479" s="8"/>
      <c r="E479" s="8"/>
      <c r="F479" s="104"/>
      <c r="G479" s="105"/>
      <c r="H479" s="196"/>
      <c r="I479" s="106">
        <f>I441</f>
        <v>1307</v>
      </c>
      <c r="K479" s="99">
        <v>474</v>
      </c>
    </row>
    <row r="480" spans="1:11">
      <c r="A480" s="57"/>
      <c r="B480" s="58" t="s">
        <v>8</v>
      </c>
      <c r="C480" s="59" t="str">
        <f>Gia_Tbi!C10</f>
        <v>Cái</v>
      </c>
      <c r="D480" s="59">
        <f>Gia_Tbi!D10</f>
        <v>1</v>
      </c>
      <c r="E480" s="140">
        <f>Gia_Tbi!E10</f>
        <v>10</v>
      </c>
      <c r="F480" s="108">
        <f>Gia_Tbi!F10</f>
        <v>80000000</v>
      </c>
      <c r="G480" s="109">
        <f>Gia_Tbi!G10</f>
        <v>16000</v>
      </c>
      <c r="H480" s="197"/>
      <c r="I480" s="110">
        <f>I446</f>
        <v>372876.79999999993</v>
      </c>
      <c r="K480" s="99">
        <v>475</v>
      </c>
    </row>
    <row r="481" spans="1:11">
      <c r="A481" s="15" t="e">
        <f>#REF!</f>
        <v>#REF!</v>
      </c>
      <c r="B481" s="7" t="e">
        <f>#REF!</f>
        <v>#REF!</v>
      </c>
      <c r="C481" s="8"/>
      <c r="D481" s="8"/>
      <c r="E481" s="8"/>
      <c r="F481" s="104"/>
      <c r="G481" s="105"/>
      <c r="H481" s="196"/>
      <c r="I481" s="106"/>
      <c r="K481" s="99">
        <v>476</v>
      </c>
    </row>
    <row r="482" spans="1:11">
      <c r="A482" s="15" t="e">
        <f>#REF!</f>
        <v>#REF!</v>
      </c>
      <c r="B482" s="7" t="e">
        <f>#REF!</f>
        <v>#REF!</v>
      </c>
      <c r="C482" s="8"/>
      <c r="D482" s="8"/>
      <c r="E482" s="8"/>
      <c r="F482" s="104"/>
      <c r="G482" s="105"/>
      <c r="H482" s="196"/>
      <c r="I482" s="106">
        <f>I454</f>
        <v>1096.5999999999999</v>
      </c>
      <c r="K482" s="99">
        <v>477</v>
      </c>
    </row>
    <row r="483" spans="1:11">
      <c r="A483" s="57"/>
      <c r="B483" s="58" t="s">
        <v>8</v>
      </c>
      <c r="C483" s="59" t="str">
        <f>Gia_Tbi!C10</f>
        <v>Cái</v>
      </c>
      <c r="D483" s="59">
        <f>Gia_Tbi!D10</f>
        <v>1</v>
      </c>
      <c r="E483" s="140">
        <f>Gia_Tbi!E10</f>
        <v>10</v>
      </c>
      <c r="F483" s="108">
        <f>Gia_Tbi!F10</f>
        <v>80000000</v>
      </c>
      <c r="G483" s="109">
        <f>Gia_Tbi!G10</f>
        <v>16000</v>
      </c>
      <c r="H483" s="197"/>
      <c r="I483" s="110">
        <f>I459</f>
        <v>312832.00000000006</v>
      </c>
      <c r="K483" s="99">
        <v>478</v>
      </c>
    </row>
    <row r="484" spans="1:11">
      <c r="A484" s="15" t="e">
        <f>#REF!</f>
        <v>#REF!</v>
      </c>
      <c r="B484" s="7" t="e">
        <f>#REF!</f>
        <v>#REF!</v>
      </c>
      <c r="C484" s="8"/>
      <c r="D484" s="8"/>
      <c r="E484" s="8"/>
      <c r="F484" s="104"/>
      <c r="G484" s="105"/>
      <c r="H484" s="196"/>
      <c r="I484" s="106">
        <f>I460</f>
        <v>190</v>
      </c>
      <c r="K484" s="99">
        <v>479</v>
      </c>
    </row>
    <row r="485" spans="1:11">
      <c r="A485" s="57"/>
      <c r="B485" s="58" t="s">
        <v>8</v>
      </c>
      <c r="C485" s="59" t="str">
        <f>Gia_Tbi!C10</f>
        <v>Cái</v>
      </c>
      <c r="D485" s="59">
        <f>Gia_Tbi!D10</f>
        <v>1</v>
      </c>
      <c r="E485" s="140">
        <f>Gia_Tbi!E10</f>
        <v>10</v>
      </c>
      <c r="F485" s="108">
        <f>Gia_Tbi!F10</f>
        <v>80000000</v>
      </c>
      <c r="G485" s="109">
        <f>Gia_Tbi!G10</f>
        <v>16000</v>
      </c>
      <c r="H485" s="197"/>
      <c r="I485" s="110">
        <f>I465</f>
        <v>54092.799999999996</v>
      </c>
      <c r="K485" s="99">
        <v>480</v>
      </c>
    </row>
    <row r="486" spans="1:11">
      <c r="A486" s="15" t="e">
        <f>#REF!</f>
        <v>#REF!</v>
      </c>
      <c r="B486" s="7" t="e">
        <f>#REF!</f>
        <v>#REF!</v>
      </c>
      <c r="C486" s="8"/>
      <c r="D486" s="8"/>
      <c r="E486" s="8"/>
      <c r="F486" s="104"/>
      <c r="G486" s="105"/>
      <c r="H486" s="196"/>
      <c r="I486" s="106">
        <f>I466</f>
        <v>695.80000000000007</v>
      </c>
      <c r="K486" s="99">
        <v>481</v>
      </c>
    </row>
    <row r="487" spans="1:11">
      <c r="A487" s="57"/>
      <c r="B487" s="58" t="s">
        <v>8</v>
      </c>
      <c r="C487" s="59" t="str">
        <f>Gia_Tbi!C10</f>
        <v>Cái</v>
      </c>
      <c r="D487" s="59">
        <f>Gia_Tbi!D10</f>
        <v>1</v>
      </c>
      <c r="E487" s="140">
        <f>Gia_Tbi!E10</f>
        <v>10</v>
      </c>
      <c r="F487" s="108">
        <f>Gia_Tbi!F10</f>
        <v>80000000</v>
      </c>
      <c r="G487" s="109">
        <f>Gia_Tbi!G10</f>
        <v>16000</v>
      </c>
      <c r="H487" s="197"/>
      <c r="I487" s="110">
        <f>I452</f>
        <v>198336.00000000003</v>
      </c>
      <c r="K487" s="99">
        <v>482</v>
      </c>
    </row>
    <row r="488" spans="1:11" s="103" customFormat="1">
      <c r="A488" s="44" t="e">
        <f>#REF!</f>
        <v>#REF!</v>
      </c>
      <c r="B488" s="45" t="e">
        <f>#REF!</f>
        <v>#REF!</v>
      </c>
      <c r="C488" s="20"/>
      <c r="D488" s="20"/>
      <c r="E488" s="20"/>
      <c r="F488" s="100"/>
      <c r="G488" s="101"/>
      <c r="H488" s="133"/>
      <c r="I488" s="102">
        <f>I467</f>
        <v>484.29999999999995</v>
      </c>
      <c r="K488" s="99">
        <v>483</v>
      </c>
    </row>
    <row r="489" spans="1:11">
      <c r="A489" s="57"/>
      <c r="B489" s="58" t="s">
        <v>8</v>
      </c>
      <c r="C489" s="59" t="str">
        <f>Gia_Tbi!C10</f>
        <v>Cái</v>
      </c>
      <c r="D489" s="59">
        <f>Gia_Tbi!D10</f>
        <v>1</v>
      </c>
      <c r="E489" s="140">
        <f>Gia_Tbi!E10</f>
        <v>10</v>
      </c>
      <c r="F489" s="108">
        <f>Gia_Tbi!F10</f>
        <v>80000000</v>
      </c>
      <c r="G489" s="109">
        <f>Gia_Tbi!G10</f>
        <v>16000</v>
      </c>
      <c r="H489" s="197"/>
      <c r="I489" s="110">
        <f>I472</f>
        <v>138099.20000000001</v>
      </c>
      <c r="K489" s="99">
        <v>484</v>
      </c>
    </row>
    <row r="490" spans="1:11" s="103" customFormat="1">
      <c r="A490" s="74" t="e">
        <f>#REF!</f>
        <v>#REF!</v>
      </c>
      <c r="B490" s="75" t="e">
        <f>#REF!</f>
        <v>#REF!</v>
      </c>
      <c r="C490" s="76"/>
      <c r="D490" s="76"/>
      <c r="E490" s="76"/>
      <c r="F490" s="118"/>
      <c r="G490" s="114"/>
      <c r="H490" s="132"/>
      <c r="I490" s="119"/>
      <c r="K490" s="99">
        <v>485</v>
      </c>
    </row>
    <row r="491" spans="1:11">
      <c r="A491" s="15" t="e">
        <f>#REF!</f>
        <v>#REF!</v>
      </c>
      <c r="B491" s="7" t="e">
        <f>#REF!</f>
        <v>#REF!</v>
      </c>
      <c r="C491" s="8"/>
      <c r="D491" s="8"/>
      <c r="E491" s="8"/>
      <c r="F491" s="104"/>
      <c r="G491" s="105"/>
      <c r="H491" s="196"/>
      <c r="I491" s="106"/>
      <c r="K491" s="99">
        <v>486</v>
      </c>
    </row>
    <row r="492" spans="1:11">
      <c r="A492" s="15" t="e">
        <f>#REF!</f>
        <v>#REF!</v>
      </c>
      <c r="B492" s="7" t="e">
        <f>#REF!</f>
        <v>#REF!</v>
      </c>
      <c r="C492" s="8"/>
      <c r="D492" s="8"/>
      <c r="E492" s="8"/>
      <c r="F492" s="104"/>
      <c r="G492" s="105"/>
      <c r="H492" s="196"/>
      <c r="I492" s="106"/>
      <c r="K492" s="99">
        <v>487</v>
      </c>
    </row>
    <row r="493" spans="1:11">
      <c r="A493" s="15" t="e">
        <f>#REF!</f>
        <v>#REF!</v>
      </c>
      <c r="B493" s="7" t="e">
        <f>#REF!</f>
        <v>#REF!</v>
      </c>
      <c r="C493" s="8"/>
      <c r="D493" s="8"/>
      <c r="E493" s="8"/>
      <c r="F493" s="104"/>
      <c r="G493" s="105"/>
      <c r="H493" s="196"/>
      <c r="I493" s="106">
        <f>I477</f>
        <v>1602.3999999999999</v>
      </c>
      <c r="K493" s="99">
        <v>488</v>
      </c>
    </row>
    <row r="494" spans="1:11">
      <c r="A494" s="57"/>
      <c r="B494" s="58" t="s">
        <v>8</v>
      </c>
      <c r="C494" s="59" t="str">
        <f>Gia_Tbi!C10</f>
        <v>Cái</v>
      </c>
      <c r="D494" s="59">
        <f>Gia_Tbi!D10</f>
        <v>1</v>
      </c>
      <c r="E494" s="140">
        <f>Gia_Tbi!E10</f>
        <v>10</v>
      </c>
      <c r="F494" s="108">
        <f>Gia_Tbi!F10</f>
        <v>80000000</v>
      </c>
      <c r="G494" s="109">
        <f>Gia_Tbi!G10</f>
        <v>16000</v>
      </c>
      <c r="H494" s="197"/>
      <c r="I494" s="110">
        <f>I478</f>
        <v>457075.20000000007</v>
      </c>
      <c r="K494" s="99">
        <v>489</v>
      </c>
    </row>
    <row r="495" spans="1:11">
      <c r="A495" s="15" t="e">
        <f>#REF!</f>
        <v>#REF!</v>
      </c>
      <c r="B495" s="7" t="e">
        <f>#REF!</f>
        <v>#REF!</v>
      </c>
      <c r="C495" s="8"/>
      <c r="D495" s="8"/>
      <c r="E495" s="8"/>
      <c r="F495" s="104"/>
      <c r="G495" s="105"/>
      <c r="H495" s="196"/>
      <c r="I495" s="106">
        <f>I479</f>
        <v>1307</v>
      </c>
      <c r="K495" s="99">
        <v>490</v>
      </c>
    </row>
    <row r="496" spans="1:11">
      <c r="A496" s="57"/>
      <c r="B496" s="58" t="s">
        <v>8</v>
      </c>
      <c r="C496" s="59" t="str">
        <f>Gia_Tbi!C10</f>
        <v>Cái</v>
      </c>
      <c r="D496" s="59">
        <f>Gia_Tbi!D10</f>
        <v>1</v>
      </c>
      <c r="E496" s="140">
        <f>Gia_Tbi!E10</f>
        <v>10</v>
      </c>
      <c r="F496" s="108">
        <f>Gia_Tbi!F10</f>
        <v>80000000</v>
      </c>
      <c r="G496" s="109">
        <f>Gia_Tbi!G10</f>
        <v>16000</v>
      </c>
      <c r="H496" s="197"/>
      <c r="I496" s="110">
        <f>I480</f>
        <v>372876.79999999993</v>
      </c>
      <c r="K496" s="99">
        <v>491</v>
      </c>
    </row>
    <row r="497" spans="1:11">
      <c r="A497" s="15" t="e">
        <f>#REF!</f>
        <v>#REF!</v>
      </c>
      <c r="B497" s="7" t="e">
        <f>#REF!</f>
        <v>#REF!</v>
      </c>
      <c r="C497" s="8"/>
      <c r="D497" s="8"/>
      <c r="E497" s="8"/>
      <c r="F497" s="104"/>
      <c r="G497" s="105"/>
      <c r="H497" s="196"/>
      <c r="I497" s="106">
        <f>I486</f>
        <v>695.80000000000007</v>
      </c>
      <c r="K497" s="99">
        <v>492</v>
      </c>
    </row>
    <row r="498" spans="1:11">
      <c r="A498" s="57"/>
      <c r="B498" s="58" t="s">
        <v>8</v>
      </c>
      <c r="C498" s="59" t="str">
        <f>Gia_Tbi!C10</f>
        <v>Cái</v>
      </c>
      <c r="D498" s="59">
        <f>Gia_Tbi!D10</f>
        <v>1</v>
      </c>
      <c r="E498" s="140">
        <f>Gia_Tbi!E10</f>
        <v>10</v>
      </c>
      <c r="F498" s="108">
        <f>Gia_Tbi!F10</f>
        <v>80000000</v>
      </c>
      <c r="G498" s="109">
        <f>Gia_Tbi!G10</f>
        <v>16000</v>
      </c>
      <c r="H498" s="197"/>
      <c r="I498" s="110">
        <f>I487</f>
        <v>198336.00000000003</v>
      </c>
      <c r="K498" s="99">
        <v>493</v>
      </c>
    </row>
    <row r="499" spans="1:11">
      <c r="A499" s="15" t="e">
        <f>#REF!</f>
        <v>#REF!</v>
      </c>
      <c r="B499" s="7" t="e">
        <f>#REF!</f>
        <v>#REF!</v>
      </c>
      <c r="C499" s="8"/>
      <c r="D499" s="8"/>
      <c r="E499" s="8"/>
      <c r="F499" s="104"/>
      <c r="G499" s="105"/>
      <c r="H499" s="196"/>
      <c r="I499" s="106"/>
      <c r="K499" s="99">
        <v>494</v>
      </c>
    </row>
    <row r="500" spans="1:11">
      <c r="A500" s="15" t="e">
        <f>#REF!</f>
        <v>#REF!</v>
      </c>
      <c r="B500" s="7" t="e">
        <f>#REF!</f>
        <v>#REF!</v>
      </c>
      <c r="C500" s="8"/>
      <c r="D500" s="8"/>
      <c r="E500" s="8"/>
      <c r="F500" s="104"/>
      <c r="G500" s="105"/>
      <c r="H500" s="196"/>
      <c r="I500" s="106">
        <f>I482</f>
        <v>1096.5999999999999</v>
      </c>
      <c r="K500" s="99">
        <v>495</v>
      </c>
    </row>
    <row r="501" spans="1:11">
      <c r="A501" s="57"/>
      <c r="B501" s="58" t="s">
        <v>8</v>
      </c>
      <c r="C501" s="59" t="str">
        <f>Gia_Tbi!C10</f>
        <v>Cái</v>
      </c>
      <c r="D501" s="59">
        <f>Gia_Tbi!D10</f>
        <v>1</v>
      </c>
      <c r="E501" s="140">
        <f>Gia_Tbi!E10</f>
        <v>10</v>
      </c>
      <c r="F501" s="108">
        <f>Gia_Tbi!F10</f>
        <v>80000000</v>
      </c>
      <c r="G501" s="109">
        <f>Gia_Tbi!G10</f>
        <v>16000</v>
      </c>
      <c r="H501" s="197"/>
      <c r="I501" s="110">
        <f>I483</f>
        <v>312832.00000000006</v>
      </c>
      <c r="K501" s="99">
        <v>496</v>
      </c>
    </row>
    <row r="502" spans="1:11">
      <c r="A502" s="57" t="e">
        <f>#REF!</f>
        <v>#REF!</v>
      </c>
      <c r="B502" s="58" t="e">
        <f>#REF!</f>
        <v>#REF!</v>
      </c>
      <c r="C502" s="59"/>
      <c r="D502" s="59"/>
      <c r="E502" s="59"/>
      <c r="F502" s="108"/>
      <c r="G502" s="109"/>
      <c r="H502" s="197"/>
      <c r="I502" s="110">
        <f>I484</f>
        <v>190</v>
      </c>
      <c r="K502" s="99">
        <v>497</v>
      </c>
    </row>
    <row r="503" spans="1:11">
      <c r="A503" s="57"/>
      <c r="B503" s="58" t="s">
        <v>8</v>
      </c>
      <c r="C503" s="59" t="str">
        <f>Gia_Tbi!C10</f>
        <v>Cái</v>
      </c>
      <c r="D503" s="59">
        <f>Gia_Tbi!D10</f>
        <v>1</v>
      </c>
      <c r="E503" s="140">
        <f>Gia_Tbi!E10</f>
        <v>10</v>
      </c>
      <c r="F503" s="108">
        <f>Gia_Tbi!F10</f>
        <v>80000000</v>
      </c>
      <c r="G503" s="109">
        <f>Gia_Tbi!G10</f>
        <v>16000</v>
      </c>
      <c r="H503" s="197"/>
      <c r="I503" s="110">
        <f>I485</f>
        <v>54092.799999999996</v>
      </c>
      <c r="K503" s="99">
        <v>498</v>
      </c>
    </row>
    <row r="504" spans="1:11" s="103" customFormat="1">
      <c r="A504" s="74" t="e">
        <f>#REF!</f>
        <v>#REF!</v>
      </c>
      <c r="B504" s="75" t="e">
        <f>#REF!</f>
        <v>#REF!</v>
      </c>
      <c r="C504" s="76"/>
      <c r="D504" s="76"/>
      <c r="E504" s="76"/>
      <c r="F504" s="118"/>
      <c r="G504" s="114"/>
      <c r="H504" s="132"/>
      <c r="I504" s="119">
        <f>I488</f>
        <v>484.29999999999995</v>
      </c>
      <c r="K504" s="99">
        <v>499</v>
      </c>
    </row>
    <row r="505" spans="1:11">
      <c r="A505" s="57"/>
      <c r="B505" s="58" t="s">
        <v>8</v>
      </c>
      <c r="C505" s="59" t="str">
        <f>Gia_Tbi!C10</f>
        <v>Cái</v>
      </c>
      <c r="D505" s="59">
        <f>Gia_Tbi!D10</f>
        <v>1</v>
      </c>
      <c r="E505" s="140">
        <f>Gia_Tbi!E10</f>
        <v>10</v>
      </c>
      <c r="F505" s="108">
        <f>Gia_Tbi!F10</f>
        <v>80000000</v>
      </c>
      <c r="G505" s="109">
        <f>Gia_Tbi!G10</f>
        <v>16000</v>
      </c>
      <c r="H505" s="197"/>
      <c r="I505" s="110">
        <f>I489</f>
        <v>138099.20000000001</v>
      </c>
      <c r="K505" s="99">
        <v>500</v>
      </c>
    </row>
    <row r="506" spans="1:11" s="103" customFormat="1">
      <c r="A506" s="44" t="e">
        <f>#REF!</f>
        <v>#REF!</v>
      </c>
      <c r="B506" s="45" t="e">
        <f>#REF!</f>
        <v>#REF!</v>
      </c>
      <c r="C506" s="20"/>
      <c r="D506" s="20"/>
      <c r="E506" s="20"/>
      <c r="F506" s="100"/>
      <c r="G506" s="101"/>
      <c r="H506" s="133"/>
      <c r="I506" s="102"/>
      <c r="K506" s="99">
        <v>501</v>
      </c>
    </row>
    <row r="507" spans="1:11" s="103" customFormat="1">
      <c r="A507" s="44" t="e">
        <f>#REF!</f>
        <v>#REF!</v>
      </c>
      <c r="B507" s="45" t="e">
        <f>#REF!</f>
        <v>#REF!</v>
      </c>
      <c r="C507" s="20"/>
      <c r="D507" s="20"/>
      <c r="E507" s="20"/>
      <c r="F507" s="100"/>
      <c r="G507" s="101"/>
      <c r="H507" s="133"/>
      <c r="I507" s="102">
        <f>SUM(I508:I511)</f>
        <v>513472</v>
      </c>
      <c r="K507" s="99">
        <v>502</v>
      </c>
    </row>
    <row r="508" spans="1:11">
      <c r="A508" s="15">
        <v>1</v>
      </c>
      <c r="B508" s="7" t="s">
        <v>73</v>
      </c>
      <c r="C508" s="8" t="str">
        <f>Gia_Tbi!C4</f>
        <v>cái</v>
      </c>
      <c r="D508" s="8">
        <f>Gia_Tbi!D4</f>
        <v>0.4</v>
      </c>
      <c r="E508" s="8">
        <f>Gia_Tbi!E4</f>
        <v>5</v>
      </c>
      <c r="F508" s="104">
        <f>Gia_Tbi!F4</f>
        <v>10000000</v>
      </c>
      <c r="G508" s="105">
        <f>Gia_Tbi!G4</f>
        <v>4000</v>
      </c>
      <c r="H508" s="203">
        <v>100</v>
      </c>
      <c r="I508" s="106">
        <f>G508*H508</f>
        <v>400000</v>
      </c>
      <c r="K508" s="99">
        <v>503</v>
      </c>
    </row>
    <row r="509" spans="1:11">
      <c r="A509" s="15">
        <v>2</v>
      </c>
      <c r="B509" s="7" t="s">
        <v>74</v>
      </c>
      <c r="C509" s="8" t="str">
        <f>Gia_Tbi!C5</f>
        <v>cái</v>
      </c>
      <c r="D509" s="8">
        <f>Gia_Tbi!D5</f>
        <v>0.6</v>
      </c>
      <c r="E509" s="8">
        <f>Gia_Tbi!E5</f>
        <v>5</v>
      </c>
      <c r="F509" s="104">
        <f>Gia_Tbi!F5</f>
        <v>2500000</v>
      </c>
      <c r="G509" s="105">
        <f>Gia_Tbi!G5</f>
        <v>1000</v>
      </c>
      <c r="H509" s="203">
        <v>1.25</v>
      </c>
      <c r="I509" s="106">
        <f>G509*H509</f>
        <v>1250</v>
      </c>
      <c r="K509" s="99">
        <v>504</v>
      </c>
    </row>
    <row r="510" spans="1:11">
      <c r="A510" s="15">
        <v>3</v>
      </c>
      <c r="B510" s="7" t="s">
        <v>24</v>
      </c>
      <c r="C510" s="8" t="str">
        <f>Gia_Tbi!C6</f>
        <v>cái</v>
      </c>
      <c r="D510" s="8">
        <f>Gia_Tbi!D6</f>
        <v>2.2000000000000002</v>
      </c>
      <c r="E510" s="8">
        <f>Gia_Tbi!E6</f>
        <v>8</v>
      </c>
      <c r="F510" s="104">
        <f>Gia_Tbi!F6</f>
        <v>12000000</v>
      </c>
      <c r="G510" s="105">
        <f>Gia_Tbi!G6</f>
        <v>3000</v>
      </c>
      <c r="H510" s="203">
        <v>33.333300000000001</v>
      </c>
      <c r="I510" s="106">
        <f>G510*H510</f>
        <v>99999.900000000009</v>
      </c>
      <c r="K510" s="99">
        <v>505</v>
      </c>
    </row>
    <row r="511" spans="1:11">
      <c r="A511" s="15">
        <v>4</v>
      </c>
      <c r="B511" s="7" t="s">
        <v>23</v>
      </c>
      <c r="C511" s="8" t="str">
        <f>Gia_Tbi!C7</f>
        <v>cái</v>
      </c>
      <c r="D511" s="8">
        <f>Gia_Tbi!D7</f>
        <v>1.5</v>
      </c>
      <c r="E511" s="8">
        <f>Gia_Tbi!E7</f>
        <v>8</v>
      </c>
      <c r="F511" s="104">
        <f>Gia_Tbi!F7</f>
        <v>44000000</v>
      </c>
      <c r="G511" s="105">
        <f>Gia_Tbi!G7</f>
        <v>11000</v>
      </c>
      <c r="H511" s="203">
        <v>1.1111</v>
      </c>
      <c r="I511" s="106">
        <f>G511*H511</f>
        <v>12222.1</v>
      </c>
      <c r="K511" s="99">
        <v>506</v>
      </c>
    </row>
    <row r="512" spans="1:11">
      <c r="A512" s="57">
        <v>5</v>
      </c>
      <c r="B512" s="58" t="s">
        <v>8</v>
      </c>
      <c r="C512" s="59" t="str">
        <f>Gia_Tbi!C10</f>
        <v>Cái</v>
      </c>
      <c r="D512" s="59">
        <f>Gia_Tbi!D10</f>
        <v>1</v>
      </c>
      <c r="E512" s="140">
        <f>Gia_Tbi!E10</f>
        <v>10</v>
      </c>
      <c r="F512" s="108">
        <f>Gia_Tbi!F10</f>
        <v>80000000</v>
      </c>
      <c r="G512" s="109">
        <f>Gia_Tbi!G10</f>
        <v>16000</v>
      </c>
      <c r="H512" s="197">
        <f>(H508*D508+H509*D509+H510*D510+H511*D511)*8</f>
        <v>925.99928000000011</v>
      </c>
      <c r="I512" s="144">
        <f>G512*H512*E512</f>
        <v>148159884.80000001</v>
      </c>
      <c r="K512" s="99">
        <v>507</v>
      </c>
    </row>
    <row r="513" spans="1:11" s="103" customFormat="1">
      <c r="A513" s="44" t="e">
        <f>#REF!</f>
        <v>#REF!</v>
      </c>
      <c r="B513" s="45" t="e">
        <f>#REF!</f>
        <v>#REF!</v>
      </c>
      <c r="C513" s="20"/>
      <c r="D513" s="20"/>
      <c r="E513" s="20"/>
      <c r="F513" s="100"/>
      <c r="G513" s="101"/>
      <c r="H513" s="133"/>
      <c r="I513" s="102">
        <f>SUM(I514:I517)</f>
        <v>513472</v>
      </c>
      <c r="K513" s="99">
        <v>508</v>
      </c>
    </row>
    <row r="514" spans="1:11">
      <c r="A514" s="15">
        <v>1</v>
      </c>
      <c r="B514" s="7" t="s">
        <v>73</v>
      </c>
      <c r="C514" s="8" t="str">
        <f>Gia_Tbi!C4</f>
        <v>cái</v>
      </c>
      <c r="D514" s="8">
        <f>Gia_Tbi!D4</f>
        <v>0.4</v>
      </c>
      <c r="E514" s="8">
        <f>Gia_Tbi!E4</f>
        <v>5</v>
      </c>
      <c r="F514" s="104">
        <f>Gia_Tbi!F4</f>
        <v>10000000</v>
      </c>
      <c r="G514" s="105">
        <f>Gia_Tbi!G4</f>
        <v>4000</v>
      </c>
      <c r="H514" s="203">
        <v>100</v>
      </c>
      <c r="I514" s="106">
        <f>G514*H514</f>
        <v>400000</v>
      </c>
      <c r="K514" s="99">
        <v>509</v>
      </c>
    </row>
    <row r="515" spans="1:11">
      <c r="A515" s="15">
        <v>2</v>
      </c>
      <c r="B515" s="7" t="s">
        <v>74</v>
      </c>
      <c r="C515" s="8" t="str">
        <f>Gia_Tbi!C5</f>
        <v>cái</v>
      </c>
      <c r="D515" s="8">
        <f>Gia_Tbi!D5</f>
        <v>0.6</v>
      </c>
      <c r="E515" s="8">
        <f>Gia_Tbi!E5</f>
        <v>5</v>
      </c>
      <c r="F515" s="104">
        <f>Gia_Tbi!F5</f>
        <v>2500000</v>
      </c>
      <c r="G515" s="105">
        <f>Gia_Tbi!G5</f>
        <v>1000</v>
      </c>
      <c r="H515" s="203">
        <v>1.25</v>
      </c>
      <c r="I515" s="106">
        <f>G515*H515</f>
        <v>1250</v>
      </c>
      <c r="K515" s="99">
        <v>510</v>
      </c>
    </row>
    <row r="516" spans="1:11">
      <c r="A516" s="15">
        <v>3</v>
      </c>
      <c r="B516" s="7" t="s">
        <v>24</v>
      </c>
      <c r="C516" s="8" t="str">
        <f>Gia_Tbi!C6</f>
        <v>cái</v>
      </c>
      <c r="D516" s="8">
        <f>Gia_Tbi!D6</f>
        <v>2.2000000000000002</v>
      </c>
      <c r="E516" s="8">
        <f>Gia_Tbi!E6</f>
        <v>8</v>
      </c>
      <c r="F516" s="104">
        <f>Gia_Tbi!F6</f>
        <v>12000000</v>
      </c>
      <c r="G516" s="105">
        <f>Gia_Tbi!G6</f>
        <v>3000</v>
      </c>
      <c r="H516" s="203">
        <v>33.333300000000001</v>
      </c>
      <c r="I516" s="106">
        <f>G516*H516</f>
        <v>99999.900000000009</v>
      </c>
      <c r="K516" s="99">
        <v>511</v>
      </c>
    </row>
    <row r="517" spans="1:11">
      <c r="A517" s="15">
        <v>4</v>
      </c>
      <c r="B517" s="7" t="s">
        <v>23</v>
      </c>
      <c r="C517" s="8" t="str">
        <f>Gia_Tbi!C7</f>
        <v>cái</v>
      </c>
      <c r="D517" s="8">
        <f>Gia_Tbi!D7</f>
        <v>1.5</v>
      </c>
      <c r="E517" s="8">
        <f>Gia_Tbi!E7</f>
        <v>8</v>
      </c>
      <c r="F517" s="104">
        <f>Gia_Tbi!F7</f>
        <v>44000000</v>
      </c>
      <c r="G517" s="105">
        <f>Gia_Tbi!G7</f>
        <v>11000</v>
      </c>
      <c r="H517" s="203">
        <v>1.1111</v>
      </c>
      <c r="I517" s="106">
        <f>G517*H517</f>
        <v>12222.1</v>
      </c>
      <c r="K517" s="99">
        <v>512</v>
      </c>
    </row>
    <row r="518" spans="1:11">
      <c r="A518" s="57">
        <v>5</v>
      </c>
      <c r="B518" s="58" t="s">
        <v>8</v>
      </c>
      <c r="C518" s="59" t="str">
        <f>Gia_Tbi!C10</f>
        <v>Cái</v>
      </c>
      <c r="D518" s="59">
        <f>Gia_Tbi!D10</f>
        <v>1</v>
      </c>
      <c r="E518" s="140">
        <f>Gia_Tbi!E10</f>
        <v>10</v>
      </c>
      <c r="F518" s="108">
        <f>Gia_Tbi!F10</f>
        <v>80000000</v>
      </c>
      <c r="G518" s="109">
        <f>Gia_Tbi!G10</f>
        <v>16000</v>
      </c>
      <c r="H518" s="197">
        <f>(H514*D514+H515*D515+H516*D516+H517*D517)*8</f>
        <v>925.99928000000011</v>
      </c>
      <c r="I518" s="144">
        <f>G518*H518*E518</f>
        <v>148159884.80000001</v>
      </c>
      <c r="K518" s="99">
        <v>513</v>
      </c>
    </row>
    <row r="519" spans="1:11" s="6" customFormat="1">
      <c r="A519" s="14" t="e">
        <f>#REF!</f>
        <v>#REF!</v>
      </c>
      <c r="B519" s="10" t="e">
        <f>#REF!</f>
        <v>#REF!</v>
      </c>
      <c r="C519" s="9"/>
      <c r="D519" s="9"/>
      <c r="E519" s="9"/>
      <c r="F519" s="115"/>
      <c r="G519" s="116"/>
      <c r="H519" s="199"/>
      <c r="I519" s="117"/>
      <c r="K519" s="99">
        <v>514</v>
      </c>
    </row>
    <row r="520" spans="1:11" s="103" customFormat="1">
      <c r="A520" s="44" t="e">
        <f>#REF!</f>
        <v>#REF!</v>
      </c>
      <c r="B520" s="45" t="e">
        <f>#REF!</f>
        <v>#REF!</v>
      </c>
      <c r="C520" s="20"/>
      <c r="D520" s="20"/>
      <c r="E520" s="20"/>
      <c r="F520" s="100"/>
      <c r="G520" s="101"/>
      <c r="H520" s="133"/>
      <c r="I520" s="102"/>
      <c r="K520" s="99">
        <v>515</v>
      </c>
    </row>
    <row r="521" spans="1:11" s="103" customFormat="1">
      <c r="A521" s="44" t="e">
        <f>#REF!</f>
        <v>#REF!</v>
      </c>
      <c r="B521" s="45" t="e">
        <f>#REF!</f>
        <v>#REF!</v>
      </c>
      <c r="C521" s="20"/>
      <c r="D521" s="20"/>
      <c r="E521" s="20"/>
      <c r="F521" s="100"/>
      <c r="G521" s="101"/>
      <c r="H521" s="133"/>
      <c r="I521" s="102"/>
      <c r="K521" s="99">
        <v>516</v>
      </c>
    </row>
    <row r="522" spans="1:11" s="6" customFormat="1">
      <c r="A522" s="14" t="e">
        <f>#REF!</f>
        <v>#REF!</v>
      </c>
      <c r="B522" s="10" t="e">
        <f>#REF!</f>
        <v>#REF!</v>
      </c>
      <c r="C522" s="9"/>
      <c r="D522" s="9"/>
      <c r="E522" s="9"/>
      <c r="F522" s="115"/>
      <c r="G522" s="116"/>
      <c r="H522" s="199"/>
      <c r="I522" s="117"/>
      <c r="K522" s="99">
        <v>517</v>
      </c>
    </row>
    <row r="523" spans="1:11" s="103" customFormat="1">
      <c r="A523" s="44" t="e">
        <f>#REF!</f>
        <v>#REF!</v>
      </c>
      <c r="B523" s="45" t="e">
        <f>#REF!</f>
        <v>#REF!</v>
      </c>
      <c r="C523" s="20"/>
      <c r="D523" s="20"/>
      <c r="E523" s="20"/>
      <c r="F523" s="100"/>
      <c r="G523" s="101"/>
      <c r="H523" s="133"/>
      <c r="I523" s="102">
        <f>I525</f>
        <v>889</v>
      </c>
      <c r="K523" s="99">
        <v>518</v>
      </c>
    </row>
    <row r="524" spans="1:11">
      <c r="A524" s="15" t="e">
        <f>#REF!</f>
        <v>#REF!</v>
      </c>
      <c r="B524" s="7" t="e">
        <f>#REF!</f>
        <v>#REF!</v>
      </c>
      <c r="C524" s="8"/>
      <c r="D524" s="8"/>
      <c r="E524" s="8"/>
      <c r="F524" s="104"/>
      <c r="G524" s="105"/>
      <c r="H524" s="196"/>
      <c r="I524" s="106">
        <f>I525</f>
        <v>889</v>
      </c>
      <c r="K524" s="99">
        <v>519</v>
      </c>
    </row>
    <row r="525" spans="1:11">
      <c r="A525" s="15" t="e">
        <f>#REF!</f>
        <v>#REF!</v>
      </c>
      <c r="B525" s="7" t="e">
        <f>#REF!</f>
        <v>#REF!</v>
      </c>
      <c r="C525" s="8"/>
      <c r="D525" s="8"/>
      <c r="E525" s="8"/>
      <c r="F525" s="104"/>
      <c r="G525" s="105"/>
      <c r="H525" s="196"/>
      <c r="I525" s="102">
        <f>SUM(I526:I530)</f>
        <v>889</v>
      </c>
      <c r="K525" s="99">
        <v>520</v>
      </c>
    </row>
    <row r="526" spans="1:11">
      <c r="A526" s="15">
        <v>1</v>
      </c>
      <c r="B526" s="7" t="s">
        <v>73</v>
      </c>
      <c r="C526" s="8" t="str">
        <f>Gia_Tbi!C4</f>
        <v>cái</v>
      </c>
      <c r="D526" s="8">
        <f>Gia_Tbi!D4</f>
        <v>0.4</v>
      </c>
      <c r="E526" s="8">
        <f>Gia_Tbi!E4</f>
        <v>5</v>
      </c>
      <c r="F526" s="104">
        <f>Gia_Tbi!F4</f>
        <v>10000000</v>
      </c>
      <c r="G526" s="105">
        <f>Gia_Tbi!G4</f>
        <v>4000</v>
      </c>
      <c r="H526" s="203">
        <v>0.12</v>
      </c>
      <c r="I526" s="106">
        <f>G526*H526</f>
        <v>480</v>
      </c>
      <c r="K526" s="99">
        <v>521</v>
      </c>
    </row>
    <row r="527" spans="1:11">
      <c r="A527" s="15">
        <v>3</v>
      </c>
      <c r="B527" s="7" t="s">
        <v>74</v>
      </c>
      <c r="C527" s="8" t="str">
        <f>Gia_Tbi!C5</f>
        <v>cái</v>
      </c>
      <c r="D527" s="8">
        <f>Gia_Tbi!D5</f>
        <v>0.6</v>
      </c>
      <c r="E527" s="8">
        <f>Gia_Tbi!E5</f>
        <v>5</v>
      </c>
      <c r="F527" s="104">
        <f>Gia_Tbi!F5</f>
        <v>2500000</v>
      </c>
      <c r="G527" s="105">
        <f>Gia_Tbi!G5</f>
        <v>1000</v>
      </c>
      <c r="H527" s="203">
        <v>5.0000000000000001E-3</v>
      </c>
      <c r="I527" s="106">
        <f>G527*H527</f>
        <v>5</v>
      </c>
      <c r="K527" s="99">
        <v>522</v>
      </c>
    </row>
    <row r="528" spans="1:11">
      <c r="A528" s="15">
        <v>4</v>
      </c>
      <c r="B528" s="7" t="s">
        <v>89</v>
      </c>
      <c r="C528" s="8" t="str">
        <f>Gia_Tbi!C8</f>
        <v>cái</v>
      </c>
      <c r="D528" s="8">
        <f>Gia_Tbi!D8</f>
        <v>0.6</v>
      </c>
      <c r="E528" s="8">
        <f>Gia_Tbi!E8</f>
        <v>8</v>
      </c>
      <c r="F528" s="104">
        <f>Gia_Tbi!F8</f>
        <v>10000000</v>
      </c>
      <c r="G528" s="105">
        <f>Gia_Tbi!G8</f>
        <v>2500</v>
      </c>
      <c r="H528" s="203">
        <v>0.12</v>
      </c>
      <c r="I528" s="106">
        <f>G528*H528</f>
        <v>300</v>
      </c>
      <c r="K528" s="99">
        <v>523</v>
      </c>
    </row>
    <row r="529" spans="1:11">
      <c r="A529" s="15">
        <v>5</v>
      </c>
      <c r="B529" s="7" t="s">
        <v>24</v>
      </c>
      <c r="C529" s="8" t="str">
        <f>Gia_Tbi!C6</f>
        <v>cái</v>
      </c>
      <c r="D529" s="8">
        <f>Gia_Tbi!D6</f>
        <v>2.2000000000000002</v>
      </c>
      <c r="E529" s="8">
        <f>Gia_Tbi!E6</f>
        <v>8</v>
      </c>
      <c r="F529" s="104">
        <f>Gia_Tbi!F6</f>
        <v>12000000</v>
      </c>
      <c r="G529" s="105">
        <f>Gia_Tbi!G6</f>
        <v>3000</v>
      </c>
      <c r="H529" s="203">
        <v>0.02</v>
      </c>
      <c r="I529" s="106">
        <f>G529*H529</f>
        <v>60</v>
      </c>
      <c r="K529" s="99">
        <v>524</v>
      </c>
    </row>
    <row r="530" spans="1:11">
      <c r="A530" s="15">
        <v>6</v>
      </c>
      <c r="B530" s="7" t="s">
        <v>23</v>
      </c>
      <c r="C530" s="8" t="str">
        <f>Gia_Tbi!C7</f>
        <v>cái</v>
      </c>
      <c r="D530" s="8">
        <f>Gia_Tbi!D7</f>
        <v>1.5</v>
      </c>
      <c r="E530" s="8">
        <f>Gia_Tbi!E7</f>
        <v>8</v>
      </c>
      <c r="F530" s="104">
        <f>Gia_Tbi!F7</f>
        <v>44000000</v>
      </c>
      <c r="G530" s="105">
        <f>Gia_Tbi!G7</f>
        <v>11000</v>
      </c>
      <c r="H530" s="203">
        <v>4.0000000000000001E-3</v>
      </c>
      <c r="I530" s="106">
        <f>G530*H530</f>
        <v>44</v>
      </c>
      <c r="K530" s="99">
        <v>525</v>
      </c>
    </row>
    <row r="531" spans="1:11">
      <c r="A531" s="57">
        <v>7</v>
      </c>
      <c r="B531" s="58" t="s">
        <v>8</v>
      </c>
      <c r="C531" s="59" t="str">
        <f>Gia_Tbi!C10</f>
        <v>Cái</v>
      </c>
      <c r="D531" s="59">
        <f>Gia_Tbi!D10</f>
        <v>1</v>
      </c>
      <c r="E531" s="140">
        <f>Gia_Tbi!E10</f>
        <v>10</v>
      </c>
      <c r="F531" s="108">
        <f>Gia_Tbi!F10</f>
        <v>80000000</v>
      </c>
      <c r="G531" s="109">
        <f>Gia_Tbi!G10</f>
        <v>16000</v>
      </c>
      <c r="H531" s="197">
        <f>(H526*D526+H527*D527+H528*D528+H529*D529+H530*D530)*8</f>
        <v>1.3840000000000001</v>
      </c>
      <c r="I531" s="144">
        <f>G531*H531*E531</f>
        <v>221440.00000000003</v>
      </c>
      <c r="K531" s="99">
        <v>526</v>
      </c>
    </row>
    <row r="532" spans="1:11" s="103" customFormat="1">
      <c r="A532" s="44" t="e">
        <f>#REF!</f>
        <v>#REF!</v>
      </c>
      <c r="B532" s="45" t="e">
        <f>#REF!</f>
        <v>#REF!</v>
      </c>
      <c r="C532" s="20"/>
      <c r="D532" s="20"/>
      <c r="E532" s="20"/>
      <c r="F532" s="100"/>
      <c r="G532" s="101"/>
      <c r="H532" s="133"/>
      <c r="I532" s="102">
        <f>SUM(I533:I537)</f>
        <v>445</v>
      </c>
      <c r="K532" s="99">
        <v>527</v>
      </c>
    </row>
    <row r="533" spans="1:11">
      <c r="A533" s="15">
        <v>1</v>
      </c>
      <c r="B533" s="7" t="s">
        <v>73</v>
      </c>
      <c r="C533" s="8" t="str">
        <f>Gia_Tbi!C4</f>
        <v>cái</v>
      </c>
      <c r="D533" s="8">
        <f>Gia_Tbi!D4</f>
        <v>0.4</v>
      </c>
      <c r="E533" s="8">
        <f>Gia_Tbi!E4</f>
        <v>5</v>
      </c>
      <c r="F533" s="104">
        <f>Gia_Tbi!F4</f>
        <v>10000000</v>
      </c>
      <c r="G533" s="105">
        <f>Gia_Tbi!G4</f>
        <v>4000</v>
      </c>
      <c r="H533" s="203">
        <v>0.06</v>
      </c>
      <c r="I533" s="106">
        <f>G533*H533</f>
        <v>240</v>
      </c>
      <c r="K533" s="99">
        <v>528</v>
      </c>
    </row>
    <row r="534" spans="1:11">
      <c r="A534" s="15">
        <v>3</v>
      </c>
      <c r="B534" s="7" t="s">
        <v>74</v>
      </c>
      <c r="C534" s="8" t="str">
        <f>Gia_Tbi!C5</f>
        <v>cái</v>
      </c>
      <c r="D534" s="8">
        <f>Gia_Tbi!D5</f>
        <v>0.6</v>
      </c>
      <c r="E534" s="8">
        <f>Gia_Tbi!E5</f>
        <v>5</v>
      </c>
      <c r="F534" s="104">
        <f>Gia_Tbi!F5</f>
        <v>2500000</v>
      </c>
      <c r="G534" s="105">
        <f>Gia_Tbi!G5</f>
        <v>1000</v>
      </c>
      <c r="H534" s="203">
        <v>3.0000000000000001E-3</v>
      </c>
      <c r="I534" s="106">
        <f>G534*H534</f>
        <v>3</v>
      </c>
      <c r="K534" s="99">
        <v>529</v>
      </c>
    </row>
    <row r="535" spans="1:11">
      <c r="A535" s="15">
        <v>4</v>
      </c>
      <c r="B535" s="7" t="s">
        <v>89</v>
      </c>
      <c r="C535" s="8" t="str">
        <f>Gia_Tbi!C8</f>
        <v>cái</v>
      </c>
      <c r="D535" s="8">
        <f>Gia_Tbi!D8</f>
        <v>0.6</v>
      </c>
      <c r="E535" s="8">
        <f>Gia_Tbi!E8</f>
        <v>8</v>
      </c>
      <c r="F535" s="104">
        <f>Gia_Tbi!F8</f>
        <v>10000000</v>
      </c>
      <c r="G535" s="105">
        <f>Gia_Tbi!G8</f>
        <v>2500</v>
      </c>
      <c r="H535" s="203">
        <v>0.06</v>
      </c>
      <c r="I535" s="106">
        <f>G535*H535</f>
        <v>150</v>
      </c>
      <c r="K535" s="99">
        <v>530</v>
      </c>
    </row>
    <row r="536" spans="1:11">
      <c r="A536" s="15">
        <v>5</v>
      </c>
      <c r="B536" s="7" t="s">
        <v>24</v>
      </c>
      <c r="C536" s="8" t="str">
        <f>Gia_Tbi!C6</f>
        <v>cái</v>
      </c>
      <c r="D536" s="8">
        <f>Gia_Tbi!D6</f>
        <v>2.2000000000000002</v>
      </c>
      <c r="E536" s="8">
        <f>Gia_Tbi!E6</f>
        <v>8</v>
      </c>
      <c r="F536" s="104">
        <f>Gia_Tbi!F6</f>
        <v>12000000</v>
      </c>
      <c r="G536" s="105">
        <f>Gia_Tbi!G6</f>
        <v>3000</v>
      </c>
      <c r="H536" s="203">
        <v>0.01</v>
      </c>
      <c r="I536" s="106">
        <f>G536*H536</f>
        <v>30</v>
      </c>
      <c r="K536" s="99">
        <v>531</v>
      </c>
    </row>
    <row r="537" spans="1:11">
      <c r="A537" s="15">
        <v>6</v>
      </c>
      <c r="B537" s="7" t="s">
        <v>23</v>
      </c>
      <c r="C537" s="8" t="str">
        <f>Gia_Tbi!C7</f>
        <v>cái</v>
      </c>
      <c r="D537" s="8">
        <f>Gia_Tbi!D7</f>
        <v>1.5</v>
      </c>
      <c r="E537" s="8">
        <f>Gia_Tbi!E7</f>
        <v>8</v>
      </c>
      <c r="F537" s="104">
        <f>Gia_Tbi!F7</f>
        <v>44000000</v>
      </c>
      <c r="G537" s="105">
        <f>Gia_Tbi!G7</f>
        <v>11000</v>
      </c>
      <c r="H537" s="203">
        <v>2E-3</v>
      </c>
      <c r="I537" s="106">
        <f>G537*H537</f>
        <v>22</v>
      </c>
      <c r="K537" s="99">
        <v>532</v>
      </c>
    </row>
    <row r="538" spans="1:11">
      <c r="A538" s="57">
        <v>7</v>
      </c>
      <c r="B538" s="58" t="s">
        <v>8</v>
      </c>
      <c r="C538" s="59" t="str">
        <f>Gia_Tbi!C10</f>
        <v>Cái</v>
      </c>
      <c r="D538" s="59">
        <f>Gia_Tbi!D10</f>
        <v>1</v>
      </c>
      <c r="E538" s="140">
        <f>Gia_Tbi!E10</f>
        <v>10</v>
      </c>
      <c r="F538" s="108">
        <f>Gia_Tbi!F10</f>
        <v>80000000</v>
      </c>
      <c r="G538" s="109">
        <f>Gia_Tbi!G10</f>
        <v>16000</v>
      </c>
      <c r="H538" s="197">
        <f>(H533*D533+H534*D534+H535*D535+H536*D536+H537*D537)*8</f>
        <v>0.69440000000000002</v>
      </c>
      <c r="I538" s="144">
        <f>G538*H538*E538</f>
        <v>111104</v>
      </c>
      <c r="K538" s="99">
        <v>533</v>
      </c>
    </row>
    <row r="539" spans="1:11" s="103" customFormat="1">
      <c r="A539" s="44" t="e">
        <f>#REF!</f>
        <v>#REF!</v>
      </c>
      <c r="B539" s="45" t="e">
        <f>#REF!</f>
        <v>#REF!</v>
      </c>
      <c r="C539" s="20"/>
      <c r="D539" s="20"/>
      <c r="E539" s="20"/>
      <c r="F539" s="100"/>
      <c r="G539" s="101"/>
      <c r="H539" s="133"/>
      <c r="I539" s="102"/>
      <c r="K539" s="99">
        <v>534</v>
      </c>
    </row>
    <row r="540" spans="1:11" s="6" customFormat="1">
      <c r="A540" s="14" t="e">
        <f>#REF!</f>
        <v>#REF!</v>
      </c>
      <c r="B540" s="10" t="e">
        <f>#REF!</f>
        <v>#REF!</v>
      </c>
      <c r="C540" s="9"/>
      <c r="D540" s="9"/>
      <c r="E540" s="9"/>
      <c r="F540" s="115"/>
      <c r="G540" s="116"/>
      <c r="H540" s="199"/>
      <c r="I540" s="117"/>
      <c r="K540" s="99">
        <v>535</v>
      </c>
    </row>
    <row r="541" spans="1:11" s="103" customFormat="1">
      <c r="A541" s="44" t="e">
        <f>#REF!</f>
        <v>#REF!</v>
      </c>
      <c r="B541" s="45" t="e">
        <f>#REF!</f>
        <v>#REF!</v>
      </c>
      <c r="C541" s="20"/>
      <c r="D541" s="20"/>
      <c r="E541" s="20"/>
      <c r="F541" s="100"/>
      <c r="G541" s="101"/>
      <c r="H541" s="133"/>
      <c r="I541" s="102">
        <f>SUM(I542:I545)</f>
        <v>516010</v>
      </c>
      <c r="K541" s="99">
        <v>536</v>
      </c>
    </row>
    <row r="542" spans="1:11">
      <c r="A542" s="15">
        <v>1</v>
      </c>
      <c r="B542" s="7" t="s">
        <v>73</v>
      </c>
      <c r="C542" s="8" t="str">
        <f>Gia_Tbi!C4</f>
        <v>cái</v>
      </c>
      <c r="D542" s="8">
        <f>Gia_Tbi!D4</f>
        <v>0.4</v>
      </c>
      <c r="E542" s="8">
        <f>Gia_Tbi!E4</f>
        <v>5</v>
      </c>
      <c r="F542" s="104">
        <f>Gia_Tbi!F4</f>
        <v>10000000</v>
      </c>
      <c r="G542" s="105">
        <f>Gia_Tbi!G4</f>
        <v>4000</v>
      </c>
      <c r="H542" s="203">
        <v>105</v>
      </c>
      <c r="I542" s="106">
        <f>G542*H542</f>
        <v>420000</v>
      </c>
      <c r="K542" s="99">
        <v>537</v>
      </c>
    </row>
    <row r="543" spans="1:11">
      <c r="A543" s="15">
        <v>2</v>
      </c>
      <c r="B543" s="7" t="s">
        <v>74</v>
      </c>
      <c r="C543" s="8" t="str">
        <f>Gia_Tbi!C5</f>
        <v>cái</v>
      </c>
      <c r="D543" s="8">
        <f>Gia_Tbi!D5</f>
        <v>0.6</v>
      </c>
      <c r="E543" s="8">
        <f>Gia_Tbi!E5</f>
        <v>5</v>
      </c>
      <c r="F543" s="104">
        <f>Gia_Tbi!F5</f>
        <v>2500000</v>
      </c>
      <c r="G543" s="105">
        <f>Gia_Tbi!G5</f>
        <v>1000</v>
      </c>
      <c r="H543" s="203">
        <v>6</v>
      </c>
      <c r="I543" s="106">
        <f>G543*H543</f>
        <v>6000</v>
      </c>
      <c r="K543" s="99">
        <v>538</v>
      </c>
    </row>
    <row r="544" spans="1:11">
      <c r="A544" s="15">
        <v>3</v>
      </c>
      <c r="B544" s="7" t="s">
        <v>24</v>
      </c>
      <c r="C544" s="8" t="str">
        <f>Gia_Tbi!C6</f>
        <v>cái</v>
      </c>
      <c r="D544" s="8">
        <f>Gia_Tbi!D6</f>
        <v>2.2000000000000002</v>
      </c>
      <c r="E544" s="8">
        <f>Gia_Tbi!E6</f>
        <v>8</v>
      </c>
      <c r="F544" s="104">
        <f>Gia_Tbi!F6</f>
        <v>12000000</v>
      </c>
      <c r="G544" s="105">
        <f>Gia_Tbi!G6</f>
        <v>3000</v>
      </c>
      <c r="H544" s="203">
        <v>11.67</v>
      </c>
      <c r="I544" s="106">
        <f>G544*H544</f>
        <v>35010</v>
      </c>
      <c r="K544" s="99">
        <v>539</v>
      </c>
    </row>
    <row r="545" spans="1:11">
      <c r="A545" s="15">
        <v>4</v>
      </c>
      <c r="B545" s="7" t="s">
        <v>23</v>
      </c>
      <c r="C545" s="8" t="str">
        <f>Gia_Tbi!C7</f>
        <v>cái</v>
      </c>
      <c r="D545" s="8">
        <f>Gia_Tbi!D7</f>
        <v>1.5</v>
      </c>
      <c r="E545" s="8">
        <f>Gia_Tbi!E7</f>
        <v>8</v>
      </c>
      <c r="F545" s="104">
        <f>Gia_Tbi!F7</f>
        <v>44000000</v>
      </c>
      <c r="G545" s="105">
        <f>Gia_Tbi!G7</f>
        <v>11000</v>
      </c>
      <c r="H545" s="203">
        <v>5</v>
      </c>
      <c r="I545" s="106">
        <f>G545*H545</f>
        <v>55000</v>
      </c>
      <c r="K545" s="99">
        <v>540</v>
      </c>
    </row>
    <row r="546" spans="1:11">
      <c r="A546" s="57">
        <v>5</v>
      </c>
      <c r="B546" s="58" t="s">
        <v>8</v>
      </c>
      <c r="C546" s="59" t="str">
        <f>Gia_Tbi!C10</f>
        <v>Cái</v>
      </c>
      <c r="D546" s="59">
        <f>Gia_Tbi!D10</f>
        <v>1</v>
      </c>
      <c r="E546" s="140">
        <f>Gia_Tbi!E10</f>
        <v>10</v>
      </c>
      <c r="F546" s="108">
        <f>Gia_Tbi!F10</f>
        <v>80000000</v>
      </c>
      <c r="G546" s="109">
        <f>Gia_Tbi!G10</f>
        <v>16000</v>
      </c>
      <c r="H546" s="197">
        <f>(H542*D542+H543*D543+H544*D544+H545*D545)*8</f>
        <v>630.19200000000001</v>
      </c>
      <c r="I546" s="144">
        <f>G546*H546*E546</f>
        <v>100830720</v>
      </c>
      <c r="K546" s="99">
        <v>541</v>
      </c>
    </row>
    <row r="547" spans="1:11" s="103" customFormat="1">
      <c r="A547" s="44" t="e">
        <f>#REF!</f>
        <v>#REF!</v>
      </c>
      <c r="B547" s="45" t="e">
        <f>#REF!</f>
        <v>#REF!</v>
      </c>
      <c r="C547" s="20"/>
      <c r="D547" s="20"/>
      <c r="E547" s="20"/>
      <c r="F547" s="100"/>
      <c r="G547" s="101"/>
      <c r="H547" s="133"/>
      <c r="I547" s="102">
        <f>SUM(I548:I551)</f>
        <v>7660</v>
      </c>
      <c r="K547" s="99">
        <v>542</v>
      </c>
    </row>
    <row r="548" spans="1:11">
      <c r="A548" s="15">
        <v>1</v>
      </c>
      <c r="B548" s="7" t="s">
        <v>73</v>
      </c>
      <c r="C548" s="8" t="str">
        <f>Gia_Tbi!C4</f>
        <v>cái</v>
      </c>
      <c r="D548" s="8">
        <f>Gia_Tbi!D4</f>
        <v>0.4</v>
      </c>
      <c r="E548" s="8">
        <f>Gia_Tbi!E4</f>
        <v>5</v>
      </c>
      <c r="F548" s="104">
        <f>Gia_Tbi!F4</f>
        <v>10000000</v>
      </c>
      <c r="G548" s="105">
        <f>Gia_Tbi!G4</f>
        <v>4000</v>
      </c>
      <c r="H548" s="203">
        <v>1.46</v>
      </c>
      <c r="I548" s="106">
        <f>G548*H548</f>
        <v>5840</v>
      </c>
      <c r="K548" s="99">
        <v>543</v>
      </c>
    </row>
    <row r="549" spans="1:11">
      <c r="A549" s="15">
        <v>2</v>
      </c>
      <c r="B549" s="7" t="s">
        <v>74</v>
      </c>
      <c r="C549" s="8" t="str">
        <f>Gia_Tbi!C5</f>
        <v>cái</v>
      </c>
      <c r="D549" s="8">
        <f>Gia_Tbi!D5</f>
        <v>0.6</v>
      </c>
      <c r="E549" s="8">
        <f>Gia_Tbi!E5</f>
        <v>5</v>
      </c>
      <c r="F549" s="104">
        <f>Gia_Tbi!F5</f>
        <v>2500000</v>
      </c>
      <c r="G549" s="105">
        <f>Gia_Tbi!G5</f>
        <v>1000</v>
      </c>
      <c r="H549" s="203">
        <v>0.02</v>
      </c>
      <c r="I549" s="106">
        <f>G549*H549</f>
        <v>20</v>
      </c>
      <c r="K549" s="99">
        <v>544</v>
      </c>
    </row>
    <row r="550" spans="1:11">
      <c r="A550" s="15">
        <v>3</v>
      </c>
      <c r="B550" s="7" t="s">
        <v>24</v>
      </c>
      <c r="C550" s="8" t="str">
        <f>Gia_Tbi!C6</f>
        <v>cái</v>
      </c>
      <c r="D550" s="8">
        <f>Gia_Tbi!D6</f>
        <v>2.2000000000000002</v>
      </c>
      <c r="E550" s="8">
        <f>Gia_Tbi!E6</f>
        <v>8</v>
      </c>
      <c r="F550" s="104">
        <f>Gia_Tbi!F6</f>
        <v>12000000</v>
      </c>
      <c r="G550" s="105">
        <f>Gia_Tbi!G6</f>
        <v>3000</v>
      </c>
      <c r="H550" s="203">
        <v>0.49</v>
      </c>
      <c r="I550" s="106">
        <f>G550*H550</f>
        <v>1470</v>
      </c>
      <c r="K550" s="99">
        <v>545</v>
      </c>
    </row>
    <row r="551" spans="1:11">
      <c r="A551" s="15">
        <v>4</v>
      </c>
      <c r="B551" s="7" t="s">
        <v>23</v>
      </c>
      <c r="C551" s="8" t="str">
        <f>Gia_Tbi!C7</f>
        <v>cái</v>
      </c>
      <c r="D551" s="8">
        <f>Gia_Tbi!D7</f>
        <v>1.5</v>
      </c>
      <c r="E551" s="8">
        <f>Gia_Tbi!E7</f>
        <v>8</v>
      </c>
      <c r="F551" s="104">
        <f>Gia_Tbi!F7</f>
        <v>44000000</v>
      </c>
      <c r="G551" s="105">
        <f>Gia_Tbi!G7</f>
        <v>11000</v>
      </c>
      <c r="H551" s="203">
        <v>0.03</v>
      </c>
      <c r="I551" s="106">
        <f>G551*H551</f>
        <v>330</v>
      </c>
      <c r="K551" s="99">
        <v>546</v>
      </c>
    </row>
    <row r="552" spans="1:11">
      <c r="A552" s="57">
        <v>5</v>
      </c>
      <c r="B552" s="58" t="s">
        <v>8</v>
      </c>
      <c r="C552" s="59" t="str">
        <f>Gia_Tbi!C10</f>
        <v>Cái</v>
      </c>
      <c r="D552" s="59">
        <f>Gia_Tbi!D10</f>
        <v>1</v>
      </c>
      <c r="E552" s="140">
        <f>Gia_Tbi!E10</f>
        <v>10</v>
      </c>
      <c r="F552" s="108">
        <f>Gia_Tbi!F10</f>
        <v>80000000</v>
      </c>
      <c r="G552" s="109">
        <f>Gia_Tbi!G10</f>
        <v>16000</v>
      </c>
      <c r="H552" s="197">
        <f>(H548*D548+H549*D549+H550*D550+H551*D551)*8</f>
        <v>13.751999999999999</v>
      </c>
      <c r="I552" s="144">
        <f>G552*H552*E552</f>
        <v>2200319.9999999995</v>
      </c>
      <c r="K552" s="99">
        <v>547</v>
      </c>
    </row>
    <row r="553" spans="1:11" s="6" customFormat="1">
      <c r="A553" s="14" t="e">
        <f>#REF!</f>
        <v>#REF!</v>
      </c>
      <c r="B553" s="10" t="e">
        <f>#REF!</f>
        <v>#REF!</v>
      </c>
      <c r="C553" s="9"/>
      <c r="D553" s="9"/>
      <c r="E553" s="9"/>
      <c r="F553" s="115"/>
      <c r="G553" s="116"/>
      <c r="H553" s="199"/>
      <c r="I553" s="117"/>
      <c r="K553" s="99">
        <v>548</v>
      </c>
    </row>
    <row r="554" spans="1:11" s="103" customFormat="1">
      <c r="A554" s="44" t="e">
        <f>#REF!</f>
        <v>#REF!</v>
      </c>
      <c r="B554" s="45" t="e">
        <f>#REF!</f>
        <v>#REF!</v>
      </c>
      <c r="C554" s="20"/>
      <c r="D554" s="20"/>
      <c r="E554" s="20"/>
      <c r="F554" s="100"/>
      <c r="G554" s="101"/>
      <c r="H554" s="133"/>
      <c r="I554" s="102">
        <f>SUM(I555:I558)</f>
        <v>308210</v>
      </c>
      <c r="K554" s="99">
        <v>549</v>
      </c>
    </row>
    <row r="555" spans="1:11">
      <c r="A555" s="15">
        <v>1</v>
      </c>
      <c r="B555" s="7" t="s">
        <v>73</v>
      </c>
      <c r="C555" s="8" t="str">
        <f>Gia_Tbi!C4</f>
        <v>cái</v>
      </c>
      <c r="D555" s="8">
        <f>Gia_Tbi!D4</f>
        <v>0.4</v>
      </c>
      <c r="E555" s="8">
        <f>Gia_Tbi!E4</f>
        <v>5</v>
      </c>
      <c r="F555" s="104">
        <f>Gia_Tbi!F4</f>
        <v>10000000</v>
      </c>
      <c r="G555" s="105">
        <f>Gia_Tbi!G4</f>
        <v>4000</v>
      </c>
      <c r="H555" s="203">
        <v>60</v>
      </c>
      <c r="I555" s="106">
        <f>G555*H555</f>
        <v>240000</v>
      </c>
      <c r="K555" s="99">
        <v>550</v>
      </c>
    </row>
    <row r="556" spans="1:11">
      <c r="A556" s="15">
        <v>2</v>
      </c>
      <c r="B556" s="7" t="s">
        <v>74</v>
      </c>
      <c r="C556" s="8" t="str">
        <f>Gia_Tbi!C5</f>
        <v>cái</v>
      </c>
      <c r="D556" s="8">
        <f>Gia_Tbi!D5</f>
        <v>0.6</v>
      </c>
      <c r="E556" s="8">
        <f>Gia_Tbi!E5</f>
        <v>5</v>
      </c>
      <c r="F556" s="104">
        <f>Gia_Tbi!F5</f>
        <v>2500000</v>
      </c>
      <c r="G556" s="105">
        <f>Gia_Tbi!G5</f>
        <v>1000</v>
      </c>
      <c r="H556" s="203">
        <v>4.2</v>
      </c>
      <c r="I556" s="106">
        <f>G556*H556</f>
        <v>4200</v>
      </c>
      <c r="K556" s="99">
        <v>551</v>
      </c>
    </row>
    <row r="557" spans="1:11">
      <c r="A557" s="15">
        <v>3</v>
      </c>
      <c r="B557" s="7" t="s">
        <v>24</v>
      </c>
      <c r="C557" s="8" t="str">
        <f>Gia_Tbi!C6</f>
        <v>cái</v>
      </c>
      <c r="D557" s="8">
        <f>Gia_Tbi!D6</f>
        <v>2.2000000000000002</v>
      </c>
      <c r="E557" s="8">
        <f>Gia_Tbi!E6</f>
        <v>8</v>
      </c>
      <c r="F557" s="104">
        <f>Gia_Tbi!F6</f>
        <v>12000000</v>
      </c>
      <c r="G557" s="105">
        <f>Gia_Tbi!G6</f>
        <v>3000</v>
      </c>
      <c r="H557" s="203">
        <v>6.67</v>
      </c>
      <c r="I557" s="106">
        <f>G557*H557</f>
        <v>20010</v>
      </c>
      <c r="K557" s="99">
        <v>552</v>
      </c>
    </row>
    <row r="558" spans="1:11">
      <c r="A558" s="15">
        <v>4</v>
      </c>
      <c r="B558" s="7" t="s">
        <v>23</v>
      </c>
      <c r="C558" s="8" t="str">
        <f>Gia_Tbi!C7</f>
        <v>cái</v>
      </c>
      <c r="D558" s="8">
        <f>Gia_Tbi!D7</f>
        <v>1.5</v>
      </c>
      <c r="E558" s="8">
        <f>Gia_Tbi!E7</f>
        <v>8</v>
      </c>
      <c r="F558" s="104">
        <f>Gia_Tbi!F7</f>
        <v>44000000</v>
      </c>
      <c r="G558" s="105">
        <f>Gia_Tbi!G7</f>
        <v>11000</v>
      </c>
      <c r="H558" s="203">
        <v>4</v>
      </c>
      <c r="I558" s="106">
        <f>G558*H558</f>
        <v>44000</v>
      </c>
      <c r="K558" s="99">
        <v>553</v>
      </c>
    </row>
    <row r="559" spans="1:11">
      <c r="A559" s="57">
        <v>5</v>
      </c>
      <c r="B559" s="58" t="s">
        <v>8</v>
      </c>
      <c r="C559" s="59" t="str">
        <f>Gia_Tbi!C10</f>
        <v>Cái</v>
      </c>
      <c r="D559" s="59">
        <f>Gia_Tbi!D10</f>
        <v>1</v>
      </c>
      <c r="E559" s="140">
        <f>Gia_Tbi!E10</f>
        <v>10</v>
      </c>
      <c r="F559" s="108">
        <f>Gia_Tbi!F10</f>
        <v>80000000</v>
      </c>
      <c r="G559" s="109">
        <f>Gia_Tbi!G10</f>
        <v>16000</v>
      </c>
      <c r="H559" s="197">
        <f>(H555*D555+H556*D556+H557*D557+H558*D558)*8</f>
        <v>377.55200000000002</v>
      </c>
      <c r="I559" s="144">
        <f>G559*H559*E559</f>
        <v>60408320</v>
      </c>
      <c r="K559" s="99">
        <v>554</v>
      </c>
    </row>
    <row r="560" spans="1:11" s="6" customFormat="1">
      <c r="A560" s="14" t="e">
        <f>#REF!</f>
        <v>#REF!</v>
      </c>
      <c r="B560" s="10" t="e">
        <f>#REF!</f>
        <v>#REF!</v>
      </c>
      <c r="C560" s="9"/>
      <c r="D560" s="9"/>
      <c r="E560" s="9"/>
      <c r="F560" s="115"/>
      <c r="G560" s="116"/>
      <c r="H560" s="199"/>
      <c r="I560" s="117"/>
      <c r="K560" s="99">
        <v>555</v>
      </c>
    </row>
    <row r="561" spans="1:11" s="103" customFormat="1">
      <c r="A561" s="44" t="e">
        <f>#REF!</f>
        <v>#REF!</v>
      </c>
      <c r="B561" s="45" t="e">
        <f>#REF!</f>
        <v>#REF!</v>
      </c>
      <c r="C561" s="20"/>
      <c r="D561" s="20"/>
      <c r="E561" s="20"/>
      <c r="F561" s="100"/>
      <c r="G561" s="101"/>
      <c r="H561" s="133"/>
      <c r="I561" s="102"/>
      <c r="K561" s="99">
        <v>556</v>
      </c>
    </row>
    <row r="562" spans="1:11" s="103" customFormat="1">
      <c r="A562" s="44" t="e">
        <f>#REF!</f>
        <v>#REF!</v>
      </c>
      <c r="B562" s="45" t="e">
        <f>#REF!</f>
        <v>#REF!</v>
      </c>
      <c r="C562" s="20"/>
      <c r="D562" s="20"/>
      <c r="E562" s="20"/>
      <c r="F562" s="100"/>
      <c r="G562" s="101"/>
      <c r="H562" s="133"/>
      <c r="I562" s="102"/>
      <c r="K562" s="99">
        <v>557</v>
      </c>
    </row>
    <row r="563" spans="1:11" s="6" customFormat="1">
      <c r="A563" s="14" t="e">
        <f>#REF!</f>
        <v>#REF!</v>
      </c>
      <c r="B563" s="10" t="e">
        <f>#REF!</f>
        <v>#REF!</v>
      </c>
      <c r="C563" s="9"/>
      <c r="D563" s="9"/>
      <c r="E563" s="9"/>
      <c r="F563" s="115"/>
      <c r="G563" s="116"/>
      <c r="H563" s="199"/>
      <c r="I563" s="117"/>
      <c r="K563" s="99">
        <v>558</v>
      </c>
    </row>
    <row r="564" spans="1:11" s="103" customFormat="1">
      <c r="A564" s="44" t="e">
        <f>#REF!</f>
        <v>#REF!</v>
      </c>
      <c r="B564" s="45" t="e">
        <f>#REF!</f>
        <v>#REF!</v>
      </c>
      <c r="C564" s="20"/>
      <c r="D564" s="20"/>
      <c r="E564" s="20"/>
      <c r="F564" s="100"/>
      <c r="G564" s="101"/>
      <c r="H564" s="133"/>
      <c r="I564" s="102">
        <f>I567</f>
        <v>81300</v>
      </c>
      <c r="K564" s="99">
        <v>559</v>
      </c>
    </row>
    <row r="565" spans="1:11">
      <c r="A565" s="15" t="e">
        <f>#REF!</f>
        <v>#REF!</v>
      </c>
      <c r="B565" s="7" t="e">
        <f>#REF!</f>
        <v>#REF!</v>
      </c>
      <c r="C565" s="8"/>
      <c r="D565" s="8"/>
      <c r="E565" s="8"/>
      <c r="F565" s="104"/>
      <c r="G565" s="105"/>
      <c r="H565" s="196"/>
      <c r="I565" s="106">
        <f>I567</f>
        <v>81300</v>
      </c>
      <c r="K565" s="99">
        <v>560</v>
      </c>
    </row>
    <row r="566" spans="1:11">
      <c r="A566" s="15" t="e">
        <f>#REF!</f>
        <v>#REF!</v>
      </c>
      <c r="B566" s="7" t="e">
        <f>#REF!</f>
        <v>#REF!</v>
      </c>
      <c r="C566" s="8"/>
      <c r="D566" s="8"/>
      <c r="E566" s="8"/>
      <c r="F566" s="104"/>
      <c r="G566" s="105"/>
      <c r="H566" s="196"/>
      <c r="I566" s="106">
        <f>I567</f>
        <v>81300</v>
      </c>
      <c r="K566" s="99">
        <v>561</v>
      </c>
    </row>
    <row r="567" spans="1:11">
      <c r="A567" s="15" t="e">
        <f>#REF!</f>
        <v>#REF!</v>
      </c>
      <c r="B567" s="7" t="e">
        <f>#REF!</f>
        <v>#REF!</v>
      </c>
      <c r="C567" s="8"/>
      <c r="D567" s="8"/>
      <c r="E567" s="8"/>
      <c r="F567" s="104"/>
      <c r="G567" s="105"/>
      <c r="H567" s="196"/>
      <c r="I567" s="102">
        <f>SUM(I568:I571)</f>
        <v>81300</v>
      </c>
      <c r="K567" s="99">
        <v>562</v>
      </c>
    </row>
    <row r="568" spans="1:11">
      <c r="A568" s="15">
        <v>1</v>
      </c>
      <c r="B568" s="7" t="s">
        <v>73</v>
      </c>
      <c r="C568" s="8" t="str">
        <f>Gia_Tbi!C4</f>
        <v>cái</v>
      </c>
      <c r="D568" s="8">
        <f>Gia_Tbi!D4</f>
        <v>0.4</v>
      </c>
      <c r="E568" s="8">
        <f>Gia_Tbi!E4</f>
        <v>5</v>
      </c>
      <c r="F568" s="104">
        <f>Gia_Tbi!F4</f>
        <v>10000000</v>
      </c>
      <c r="G568" s="105">
        <f>Gia_Tbi!G4</f>
        <v>4000</v>
      </c>
      <c r="H568" s="203">
        <v>15</v>
      </c>
      <c r="I568" s="106">
        <f>G568*H568</f>
        <v>60000</v>
      </c>
      <c r="K568" s="99">
        <v>563</v>
      </c>
    </row>
    <row r="569" spans="1:11">
      <c r="A569" s="15">
        <v>2</v>
      </c>
      <c r="B569" s="7" t="s">
        <v>74</v>
      </c>
      <c r="C569" s="8" t="str">
        <f>Gia_Tbi!C5</f>
        <v>cái</v>
      </c>
      <c r="D569" s="8">
        <f>Gia_Tbi!D5</f>
        <v>0.6</v>
      </c>
      <c r="E569" s="8">
        <f>Gia_Tbi!E5</f>
        <v>5</v>
      </c>
      <c r="F569" s="104">
        <f>Gia_Tbi!F5</f>
        <v>2500000</v>
      </c>
      <c r="G569" s="105">
        <f>Gia_Tbi!G5</f>
        <v>1000</v>
      </c>
      <c r="H569" s="203">
        <v>0.8</v>
      </c>
      <c r="I569" s="106">
        <f>G569*H569</f>
        <v>800</v>
      </c>
      <c r="K569" s="99">
        <v>564</v>
      </c>
    </row>
    <row r="570" spans="1:11">
      <c r="A570" s="15">
        <v>3</v>
      </c>
      <c r="B570" s="7" t="s">
        <v>24</v>
      </c>
      <c r="C570" s="8" t="str">
        <f>Gia_Tbi!C6</f>
        <v>cái</v>
      </c>
      <c r="D570" s="8">
        <f>Gia_Tbi!D6</f>
        <v>2.2000000000000002</v>
      </c>
      <c r="E570" s="8">
        <f>Gia_Tbi!E6</f>
        <v>8</v>
      </c>
      <c r="F570" s="104">
        <f>Gia_Tbi!F6</f>
        <v>12000000</v>
      </c>
      <c r="G570" s="105">
        <f>Gia_Tbi!G6</f>
        <v>3000</v>
      </c>
      <c r="H570" s="203">
        <v>5</v>
      </c>
      <c r="I570" s="106">
        <f>G570*H570</f>
        <v>15000</v>
      </c>
      <c r="K570" s="99">
        <v>565</v>
      </c>
    </row>
    <row r="571" spans="1:11">
      <c r="A571" s="15">
        <v>4</v>
      </c>
      <c r="B571" s="7" t="s">
        <v>23</v>
      </c>
      <c r="C571" s="8" t="str">
        <f>Gia_Tbi!C7</f>
        <v>cái</v>
      </c>
      <c r="D571" s="8">
        <f>Gia_Tbi!D7</f>
        <v>1.5</v>
      </c>
      <c r="E571" s="8">
        <f>Gia_Tbi!E7</f>
        <v>8</v>
      </c>
      <c r="F571" s="104">
        <f>Gia_Tbi!F7</f>
        <v>44000000</v>
      </c>
      <c r="G571" s="105">
        <f>Gia_Tbi!G7</f>
        <v>11000</v>
      </c>
      <c r="H571" s="203">
        <v>0.5</v>
      </c>
      <c r="I571" s="106">
        <f>G571*H571</f>
        <v>5500</v>
      </c>
      <c r="K571" s="99">
        <v>566</v>
      </c>
    </row>
    <row r="572" spans="1:11">
      <c r="A572" s="57">
        <v>5</v>
      </c>
      <c r="B572" s="58" t="s">
        <v>8</v>
      </c>
      <c r="C572" s="59" t="str">
        <f>Gia_Tbi!C10</f>
        <v>Cái</v>
      </c>
      <c r="D572" s="59">
        <f>Gia_Tbi!D10</f>
        <v>1</v>
      </c>
      <c r="E572" s="140">
        <f>Gia_Tbi!E10</f>
        <v>10</v>
      </c>
      <c r="F572" s="108">
        <f>Gia_Tbi!F10</f>
        <v>80000000</v>
      </c>
      <c r="G572" s="109">
        <f>Gia_Tbi!G10</f>
        <v>16000</v>
      </c>
      <c r="H572" s="197">
        <f>(H568*D568+H569*D569+H570*D570+H571*D571)*8</f>
        <v>145.84</v>
      </c>
      <c r="I572" s="144">
        <f>G572*H572*E572</f>
        <v>23334400</v>
      </c>
      <c r="K572" s="99">
        <v>567</v>
      </c>
    </row>
    <row r="573" spans="1:11" s="103" customFormat="1">
      <c r="A573" s="44" t="e">
        <f>#REF!</f>
        <v>#REF!</v>
      </c>
      <c r="B573" s="45" t="e">
        <f>#REF!</f>
        <v>#REF!</v>
      </c>
      <c r="C573" s="20"/>
      <c r="D573" s="20"/>
      <c r="E573" s="20"/>
      <c r="F573" s="100"/>
      <c r="G573" s="101"/>
      <c r="H573" s="133"/>
      <c r="I573" s="102">
        <f>SUM(I574:I577)</f>
        <v>53690</v>
      </c>
      <c r="K573" s="99">
        <v>568</v>
      </c>
    </row>
    <row r="574" spans="1:11">
      <c r="A574" s="15">
        <v>1</v>
      </c>
      <c r="B574" s="7" t="s">
        <v>73</v>
      </c>
      <c r="C574" s="8" t="str">
        <f>Gia_Tbi!C4</f>
        <v>cái</v>
      </c>
      <c r="D574" s="8">
        <f>Gia_Tbi!D4</f>
        <v>0.4</v>
      </c>
      <c r="E574" s="8">
        <f>Gia_Tbi!E4</f>
        <v>5</v>
      </c>
      <c r="F574" s="104">
        <f>Gia_Tbi!F4</f>
        <v>10000000</v>
      </c>
      <c r="G574" s="105">
        <f>Gia_Tbi!G4</f>
        <v>4000</v>
      </c>
      <c r="H574" s="203">
        <v>10</v>
      </c>
      <c r="I574" s="106">
        <f>G574*H574</f>
        <v>40000</v>
      </c>
      <c r="K574" s="99">
        <v>569</v>
      </c>
    </row>
    <row r="575" spans="1:11">
      <c r="A575" s="15">
        <v>2</v>
      </c>
      <c r="B575" s="7" t="s">
        <v>74</v>
      </c>
      <c r="C575" s="8" t="str">
        <f>Gia_Tbi!C5</f>
        <v>cái</v>
      </c>
      <c r="D575" s="8">
        <f>Gia_Tbi!D5</f>
        <v>0.6</v>
      </c>
      <c r="E575" s="8">
        <f>Gia_Tbi!E5</f>
        <v>5</v>
      </c>
      <c r="F575" s="104">
        <f>Gia_Tbi!F5</f>
        <v>2500000</v>
      </c>
      <c r="G575" s="105">
        <f>Gia_Tbi!G5</f>
        <v>1000</v>
      </c>
      <c r="H575" s="203">
        <v>0.4</v>
      </c>
      <c r="I575" s="106">
        <f>G575*H575</f>
        <v>400</v>
      </c>
      <c r="K575" s="99">
        <v>570</v>
      </c>
    </row>
    <row r="576" spans="1:11">
      <c r="A576" s="15">
        <v>3</v>
      </c>
      <c r="B576" s="7" t="s">
        <v>24</v>
      </c>
      <c r="C576" s="8" t="str">
        <f>Gia_Tbi!C6</f>
        <v>cái</v>
      </c>
      <c r="D576" s="8">
        <f>Gia_Tbi!D6</f>
        <v>2.2000000000000002</v>
      </c>
      <c r="E576" s="8">
        <f>Gia_Tbi!E6</f>
        <v>8</v>
      </c>
      <c r="F576" s="104">
        <f>Gia_Tbi!F6</f>
        <v>12000000</v>
      </c>
      <c r="G576" s="105">
        <f>Gia_Tbi!G6</f>
        <v>3000</v>
      </c>
      <c r="H576" s="203">
        <v>3.33</v>
      </c>
      <c r="I576" s="106">
        <f>G576*H576</f>
        <v>9990</v>
      </c>
      <c r="K576" s="99">
        <v>571</v>
      </c>
    </row>
    <row r="577" spans="1:11">
      <c r="A577" s="15">
        <v>4</v>
      </c>
      <c r="B577" s="7" t="s">
        <v>23</v>
      </c>
      <c r="C577" s="8" t="str">
        <f>Gia_Tbi!C7</f>
        <v>cái</v>
      </c>
      <c r="D577" s="8">
        <f>Gia_Tbi!D7</f>
        <v>1.5</v>
      </c>
      <c r="E577" s="8">
        <f>Gia_Tbi!E7</f>
        <v>8</v>
      </c>
      <c r="F577" s="104">
        <f>Gia_Tbi!F7</f>
        <v>44000000</v>
      </c>
      <c r="G577" s="105">
        <f>Gia_Tbi!G7</f>
        <v>11000</v>
      </c>
      <c r="H577" s="203">
        <v>0.3</v>
      </c>
      <c r="I577" s="106">
        <f>G577*H577</f>
        <v>3300</v>
      </c>
      <c r="K577" s="99">
        <v>572</v>
      </c>
    </row>
    <row r="578" spans="1:11">
      <c r="A578" s="57">
        <v>5</v>
      </c>
      <c r="B578" s="58" t="s">
        <v>8</v>
      </c>
      <c r="C578" s="59" t="str">
        <f>Gia_Tbi!C10</f>
        <v>Cái</v>
      </c>
      <c r="D578" s="59">
        <f>Gia_Tbi!D10</f>
        <v>1</v>
      </c>
      <c r="E578" s="140">
        <f>Gia_Tbi!E10</f>
        <v>10</v>
      </c>
      <c r="F578" s="108">
        <f>Gia_Tbi!F10</f>
        <v>80000000</v>
      </c>
      <c r="G578" s="109">
        <f>Gia_Tbi!G10</f>
        <v>16000</v>
      </c>
      <c r="H578" s="197">
        <f>(H574*D574+H575*D575+H576*D576+H577*D577)*8</f>
        <v>96.128</v>
      </c>
      <c r="I578" s="144">
        <f>G578*H578*E578</f>
        <v>15380480</v>
      </c>
      <c r="K578" s="99">
        <v>573</v>
      </c>
    </row>
    <row r="579" spans="1:11" s="103" customFormat="1">
      <c r="A579" s="44" t="e">
        <f>#REF!</f>
        <v>#REF!</v>
      </c>
      <c r="B579" s="45" t="e">
        <f>#REF!</f>
        <v>#REF!</v>
      </c>
      <c r="C579" s="20"/>
      <c r="D579" s="20"/>
      <c r="E579" s="20"/>
      <c r="F579" s="100"/>
      <c r="G579" s="101"/>
      <c r="H579" s="133"/>
      <c r="I579" s="102"/>
      <c r="K579" s="99">
        <v>574</v>
      </c>
    </row>
    <row r="580" spans="1:11">
      <c r="A580" s="15" t="e">
        <f>#REF!</f>
        <v>#REF!</v>
      </c>
      <c r="B580" s="7" t="e">
        <f>#REF!</f>
        <v>#REF!</v>
      </c>
      <c r="C580" s="8"/>
      <c r="D580" s="8"/>
      <c r="E580" s="8"/>
      <c r="F580" s="104"/>
      <c r="G580" s="105"/>
      <c r="H580" s="196"/>
      <c r="I580" s="102">
        <f>SUM(I581:I584)</f>
        <v>235850</v>
      </c>
      <c r="K580" s="99">
        <v>575</v>
      </c>
    </row>
    <row r="581" spans="1:11">
      <c r="A581" s="15">
        <v>1</v>
      </c>
      <c r="B581" s="7" t="s">
        <v>73</v>
      </c>
      <c r="C581" s="8" t="str">
        <f>Gia_Tbi!C4</f>
        <v>cái</v>
      </c>
      <c r="D581" s="8">
        <f>Gia_Tbi!D4</f>
        <v>0.4</v>
      </c>
      <c r="E581" s="8">
        <f>Gia_Tbi!E4</f>
        <v>5</v>
      </c>
      <c r="F581" s="104">
        <f>Gia_Tbi!F4</f>
        <v>10000000</v>
      </c>
      <c r="G581" s="105">
        <f>Gia_Tbi!G4</f>
        <v>4000</v>
      </c>
      <c r="H581" s="203">
        <v>45</v>
      </c>
      <c r="I581" s="106">
        <f>G581*H581</f>
        <v>180000</v>
      </c>
      <c r="K581" s="99">
        <v>576</v>
      </c>
    </row>
    <row r="582" spans="1:11">
      <c r="A582" s="15">
        <v>2</v>
      </c>
      <c r="B582" s="7" t="s">
        <v>74</v>
      </c>
      <c r="C582" s="8" t="str">
        <f>Gia_Tbi!C5</f>
        <v>cái</v>
      </c>
      <c r="D582" s="8">
        <f>Gia_Tbi!D5</f>
        <v>0.6</v>
      </c>
      <c r="E582" s="8">
        <f>Gia_Tbi!E5</f>
        <v>5</v>
      </c>
      <c r="F582" s="104">
        <f>Gia_Tbi!F5</f>
        <v>2500000</v>
      </c>
      <c r="G582" s="105">
        <f>Gia_Tbi!G5</f>
        <v>1000</v>
      </c>
      <c r="H582" s="203">
        <v>1.5</v>
      </c>
      <c r="I582" s="106">
        <f>G582*H582</f>
        <v>1500</v>
      </c>
      <c r="K582" s="99">
        <v>577</v>
      </c>
    </row>
    <row r="583" spans="1:11">
      <c r="A583" s="15">
        <v>3</v>
      </c>
      <c r="B583" s="7" t="s">
        <v>24</v>
      </c>
      <c r="C583" s="8" t="str">
        <f>Gia_Tbi!C6</f>
        <v>cái</v>
      </c>
      <c r="D583" s="8">
        <f>Gia_Tbi!D6</f>
        <v>2.2000000000000002</v>
      </c>
      <c r="E583" s="8">
        <f>Gia_Tbi!E6</f>
        <v>8</v>
      </c>
      <c r="F583" s="104">
        <f>Gia_Tbi!F6</f>
        <v>12000000</v>
      </c>
      <c r="G583" s="105">
        <f>Gia_Tbi!G6</f>
        <v>3000</v>
      </c>
      <c r="H583" s="203">
        <v>15</v>
      </c>
      <c r="I583" s="106">
        <f>G583*H583</f>
        <v>45000</v>
      </c>
      <c r="K583" s="99">
        <v>578</v>
      </c>
    </row>
    <row r="584" spans="1:11">
      <c r="A584" s="15">
        <v>4</v>
      </c>
      <c r="B584" s="7" t="s">
        <v>23</v>
      </c>
      <c r="C584" s="8" t="str">
        <f>Gia_Tbi!C7</f>
        <v>cái</v>
      </c>
      <c r="D584" s="8">
        <f>Gia_Tbi!D7</f>
        <v>1.5</v>
      </c>
      <c r="E584" s="8">
        <f>Gia_Tbi!E7</f>
        <v>8</v>
      </c>
      <c r="F584" s="104">
        <f>Gia_Tbi!F7</f>
        <v>44000000</v>
      </c>
      <c r="G584" s="105">
        <f>Gia_Tbi!G7</f>
        <v>11000</v>
      </c>
      <c r="H584" s="203">
        <v>0.85</v>
      </c>
      <c r="I584" s="106">
        <f>G584*H584</f>
        <v>9350</v>
      </c>
      <c r="K584" s="99">
        <v>579</v>
      </c>
    </row>
    <row r="585" spans="1:11">
      <c r="A585" s="57">
        <v>5</v>
      </c>
      <c r="B585" s="58" t="s">
        <v>8</v>
      </c>
      <c r="C585" s="59" t="str">
        <f>Gia_Tbi!C10</f>
        <v>Cái</v>
      </c>
      <c r="D585" s="59">
        <f>Gia_Tbi!D10</f>
        <v>1</v>
      </c>
      <c r="E585" s="140">
        <f>Gia_Tbi!E10</f>
        <v>10</v>
      </c>
      <c r="F585" s="108">
        <f>Gia_Tbi!F10</f>
        <v>80000000</v>
      </c>
      <c r="G585" s="109">
        <f>Gia_Tbi!G10</f>
        <v>16000</v>
      </c>
      <c r="H585" s="197">
        <f>(H581*D581+H582*D582+H583*D583+H584*D584)*8</f>
        <v>425.4</v>
      </c>
      <c r="I585" s="144">
        <f>G585*H585*E585</f>
        <v>68064000</v>
      </c>
      <c r="K585" s="99">
        <v>580</v>
      </c>
    </row>
    <row r="586" spans="1:11">
      <c r="A586" s="15" t="e">
        <f>#REF!</f>
        <v>#REF!</v>
      </c>
      <c r="B586" s="7" t="e">
        <f>#REF!</f>
        <v>#REF!</v>
      </c>
      <c r="C586" s="8"/>
      <c r="D586" s="8"/>
      <c r="E586" s="8"/>
      <c r="F586" s="104"/>
      <c r="G586" s="105"/>
      <c r="H586" s="196"/>
      <c r="I586" s="102">
        <f>SUM(I587:I590)</f>
        <v>3521</v>
      </c>
      <c r="K586" s="99">
        <v>581</v>
      </c>
    </row>
    <row r="587" spans="1:11">
      <c r="A587" s="15">
        <v>1</v>
      </c>
      <c r="B587" s="7" t="s">
        <v>73</v>
      </c>
      <c r="C587" s="8" t="str">
        <f>Gia_Tbi!C4</f>
        <v>cái</v>
      </c>
      <c r="D587" s="8">
        <f>Gia_Tbi!D4</f>
        <v>0.4</v>
      </c>
      <c r="E587" s="8">
        <f>Gia_Tbi!E4</f>
        <v>5</v>
      </c>
      <c r="F587" s="104">
        <f>Gia_Tbi!F4</f>
        <v>10000000</v>
      </c>
      <c r="G587" s="105">
        <f>Gia_Tbi!G4</f>
        <v>4000</v>
      </c>
      <c r="H587" s="203">
        <v>0.68</v>
      </c>
      <c r="I587" s="106">
        <f>G587*H587</f>
        <v>2720</v>
      </c>
      <c r="K587" s="99">
        <v>582</v>
      </c>
    </row>
    <row r="588" spans="1:11">
      <c r="A588" s="15">
        <v>2</v>
      </c>
      <c r="B588" s="7" t="s">
        <v>74</v>
      </c>
      <c r="C588" s="8" t="str">
        <f>Gia_Tbi!C5</f>
        <v>cái</v>
      </c>
      <c r="D588" s="8">
        <f>Gia_Tbi!D5</f>
        <v>0.6</v>
      </c>
      <c r="E588" s="8">
        <f>Gia_Tbi!E5</f>
        <v>5</v>
      </c>
      <c r="F588" s="104">
        <f>Gia_Tbi!F5</f>
        <v>2500000</v>
      </c>
      <c r="G588" s="105">
        <f>Gia_Tbi!G5</f>
        <v>1000</v>
      </c>
      <c r="H588" s="203">
        <v>0.01</v>
      </c>
      <c r="I588" s="106">
        <f>G588*H588</f>
        <v>10</v>
      </c>
      <c r="K588" s="99">
        <v>583</v>
      </c>
    </row>
    <row r="589" spans="1:11">
      <c r="A589" s="15">
        <v>3</v>
      </c>
      <c r="B589" s="7" t="s">
        <v>24</v>
      </c>
      <c r="C589" s="8" t="str">
        <f>Gia_Tbi!C6</f>
        <v>cái</v>
      </c>
      <c r="D589" s="8">
        <f>Gia_Tbi!D6</f>
        <v>2.2000000000000002</v>
      </c>
      <c r="E589" s="8">
        <f>Gia_Tbi!E6</f>
        <v>8</v>
      </c>
      <c r="F589" s="104">
        <f>Gia_Tbi!F6</f>
        <v>12000000</v>
      </c>
      <c r="G589" s="105">
        <f>Gia_Tbi!G6</f>
        <v>3000</v>
      </c>
      <c r="H589" s="203">
        <v>0.22700000000000001</v>
      </c>
      <c r="I589" s="106">
        <f>G589*H589</f>
        <v>681</v>
      </c>
      <c r="K589" s="99">
        <v>584</v>
      </c>
    </row>
    <row r="590" spans="1:11">
      <c r="A590" s="15">
        <v>4</v>
      </c>
      <c r="B590" s="7" t="s">
        <v>23</v>
      </c>
      <c r="C590" s="8" t="str">
        <f>Gia_Tbi!C7</f>
        <v>cái</v>
      </c>
      <c r="D590" s="8">
        <f>Gia_Tbi!D7</f>
        <v>1.5</v>
      </c>
      <c r="E590" s="8">
        <f>Gia_Tbi!E7</f>
        <v>8</v>
      </c>
      <c r="F590" s="104">
        <f>Gia_Tbi!F7</f>
        <v>44000000</v>
      </c>
      <c r="G590" s="105">
        <f>Gia_Tbi!G7</f>
        <v>11000</v>
      </c>
      <c r="H590" s="203">
        <v>0.01</v>
      </c>
      <c r="I590" s="106">
        <f>G590*H590</f>
        <v>110</v>
      </c>
      <c r="K590" s="99">
        <v>585</v>
      </c>
    </row>
    <row r="591" spans="1:11">
      <c r="A591" s="57">
        <v>5</v>
      </c>
      <c r="B591" s="58" t="s">
        <v>8</v>
      </c>
      <c r="C591" s="59" t="str">
        <f>Gia_Tbi!C10</f>
        <v>Cái</v>
      </c>
      <c r="D591" s="59">
        <f>Gia_Tbi!D10</f>
        <v>1</v>
      </c>
      <c r="E591" s="140">
        <f>Gia_Tbi!E10</f>
        <v>10</v>
      </c>
      <c r="F591" s="108">
        <f>Gia_Tbi!F10</f>
        <v>80000000</v>
      </c>
      <c r="G591" s="109">
        <f>Gia_Tbi!G10</f>
        <v>16000</v>
      </c>
      <c r="H591" s="197">
        <f>(H587*D587+H588*D588+H589*D589+H590*D590)*8</f>
        <v>6.3392000000000008</v>
      </c>
      <c r="I591" s="144">
        <f>G591*H591*E591</f>
        <v>1014272.0000000001</v>
      </c>
      <c r="K591" s="99">
        <v>586</v>
      </c>
    </row>
    <row r="592" spans="1:11" s="103" customFormat="1">
      <c r="A592" s="44" t="e">
        <f>#REF!</f>
        <v>#REF!</v>
      </c>
      <c r="B592" s="45" t="e">
        <f>#REF!</f>
        <v>#REF!</v>
      </c>
      <c r="C592" s="20"/>
      <c r="D592" s="20"/>
      <c r="E592" s="20"/>
      <c r="F592" s="100"/>
      <c r="G592" s="101"/>
      <c r="H592" s="133"/>
      <c r="I592" s="102"/>
      <c r="K592" s="99">
        <v>587</v>
      </c>
    </row>
    <row r="593" spans="1:11">
      <c r="A593" s="15" t="e">
        <f>#REF!</f>
        <v>#REF!</v>
      </c>
      <c r="B593" s="7" t="e">
        <f>#REF!</f>
        <v>#REF!</v>
      </c>
      <c r="C593" s="8"/>
      <c r="D593" s="8"/>
      <c r="E593" s="8"/>
      <c r="F593" s="104"/>
      <c r="G593" s="105"/>
      <c r="H593" s="196"/>
      <c r="I593" s="106"/>
      <c r="K593" s="99">
        <v>588</v>
      </c>
    </row>
    <row r="594" spans="1:11" s="11" customFormat="1" ht="41.25" customHeight="1">
      <c r="A594" s="29" t="e">
        <f>#REF!</f>
        <v>#REF!</v>
      </c>
      <c r="B594" s="2034" t="e">
        <f>#REF!</f>
        <v>#REF!</v>
      </c>
      <c r="C594" s="2035"/>
      <c r="D594" s="2035"/>
      <c r="E594" s="2035"/>
      <c r="F594" s="2035"/>
      <c r="G594" s="2035"/>
      <c r="H594" s="2035"/>
      <c r="I594" s="2036"/>
      <c r="K594" s="99">
        <v>589</v>
      </c>
    </row>
    <row r="595" spans="1:11" s="103" customFormat="1">
      <c r="A595" s="44" t="e">
        <f>#REF!</f>
        <v>#REF!</v>
      </c>
      <c r="B595" s="45" t="e">
        <f>#REF!</f>
        <v>#REF!</v>
      </c>
      <c r="C595" s="20"/>
      <c r="D595" s="20"/>
      <c r="E595" s="20"/>
      <c r="F595" s="100"/>
      <c r="G595" s="101"/>
      <c r="H595" s="133"/>
      <c r="I595" s="102">
        <f>SUM(I596:I599)</f>
        <v>32000</v>
      </c>
      <c r="K595" s="99">
        <v>590</v>
      </c>
    </row>
    <row r="596" spans="1:11">
      <c r="A596" s="15">
        <v>1</v>
      </c>
      <c r="B596" s="7" t="s">
        <v>73</v>
      </c>
      <c r="C596" s="8" t="str">
        <f>Gia_Tbi!C4</f>
        <v>cái</v>
      </c>
      <c r="D596" s="8">
        <f>Gia_Tbi!D4</f>
        <v>0.4</v>
      </c>
      <c r="E596" s="8">
        <f>Gia_Tbi!E4</f>
        <v>5</v>
      </c>
      <c r="F596" s="104">
        <f>Gia_Tbi!F4</f>
        <v>10000000</v>
      </c>
      <c r="G596" s="105">
        <f>Gia_Tbi!G4</f>
        <v>4000</v>
      </c>
      <c r="H596" s="203">
        <v>4</v>
      </c>
      <c r="I596" s="106">
        <f>G596*H596</f>
        <v>16000</v>
      </c>
      <c r="K596" s="99">
        <v>591</v>
      </c>
    </row>
    <row r="597" spans="1:11">
      <c r="A597" s="15">
        <v>2</v>
      </c>
      <c r="B597" s="7" t="s">
        <v>74</v>
      </c>
      <c r="C597" s="8" t="str">
        <f>Gia_Tbi!C5</f>
        <v>cái</v>
      </c>
      <c r="D597" s="8">
        <f>Gia_Tbi!D5</f>
        <v>0.6</v>
      </c>
      <c r="E597" s="8">
        <f>Gia_Tbi!E5</f>
        <v>5</v>
      </c>
      <c r="F597" s="104">
        <f>Gia_Tbi!F5</f>
        <v>2500000</v>
      </c>
      <c r="G597" s="105">
        <f>Gia_Tbi!G5</f>
        <v>1000</v>
      </c>
      <c r="H597" s="203">
        <v>0.5</v>
      </c>
      <c r="I597" s="106">
        <f>G597*H597</f>
        <v>500</v>
      </c>
      <c r="K597" s="99">
        <v>592</v>
      </c>
    </row>
    <row r="598" spans="1:11">
      <c r="A598" s="15">
        <v>3</v>
      </c>
      <c r="B598" s="7" t="s">
        <v>24</v>
      </c>
      <c r="C598" s="8" t="str">
        <f>Gia_Tbi!C6</f>
        <v>cái</v>
      </c>
      <c r="D598" s="8">
        <f>Gia_Tbi!D6</f>
        <v>2.2000000000000002</v>
      </c>
      <c r="E598" s="8">
        <f>Gia_Tbi!E6</f>
        <v>8</v>
      </c>
      <c r="F598" s="104">
        <f>Gia_Tbi!F6</f>
        <v>12000000</v>
      </c>
      <c r="G598" s="105">
        <f>Gia_Tbi!G6</f>
        <v>3000</v>
      </c>
      <c r="H598" s="203">
        <v>1.5</v>
      </c>
      <c r="I598" s="106">
        <f>G598*H598</f>
        <v>4500</v>
      </c>
      <c r="K598" s="99">
        <v>593</v>
      </c>
    </row>
    <row r="599" spans="1:11">
      <c r="A599" s="15">
        <v>4</v>
      </c>
      <c r="B599" s="7" t="s">
        <v>23</v>
      </c>
      <c r="C599" s="8" t="str">
        <f>Gia_Tbi!C7</f>
        <v>cái</v>
      </c>
      <c r="D599" s="8">
        <f>Gia_Tbi!D7</f>
        <v>1.5</v>
      </c>
      <c r="E599" s="8">
        <f>Gia_Tbi!E7</f>
        <v>8</v>
      </c>
      <c r="F599" s="104">
        <f>Gia_Tbi!F7</f>
        <v>44000000</v>
      </c>
      <c r="G599" s="105">
        <f>Gia_Tbi!G7</f>
        <v>11000</v>
      </c>
      <c r="H599" s="203">
        <v>1</v>
      </c>
      <c r="I599" s="106">
        <f>G599*H599</f>
        <v>11000</v>
      </c>
      <c r="K599" s="99">
        <v>594</v>
      </c>
    </row>
    <row r="600" spans="1:11">
      <c r="A600" s="57">
        <v>5</v>
      </c>
      <c r="B600" s="58" t="s">
        <v>8</v>
      </c>
      <c r="C600" s="59" t="str">
        <f>Gia_Tbi!C10</f>
        <v>Cái</v>
      </c>
      <c r="D600" s="59">
        <f>Gia_Tbi!D10</f>
        <v>1</v>
      </c>
      <c r="E600" s="140">
        <f>Gia_Tbi!E10</f>
        <v>10</v>
      </c>
      <c r="F600" s="108">
        <f>Gia_Tbi!F10</f>
        <v>80000000</v>
      </c>
      <c r="G600" s="109">
        <f>Gia_Tbi!G10</f>
        <v>16000</v>
      </c>
      <c r="H600" s="197">
        <f>(H596*D596+H597*D597+H598*D598+H599*D599)*8</f>
        <v>53.6</v>
      </c>
      <c r="I600" s="144">
        <f>G600*H600*E600</f>
        <v>8576000</v>
      </c>
      <c r="K600" s="99">
        <v>595</v>
      </c>
    </row>
    <row r="601" spans="1:11" s="6" customFormat="1">
      <c r="A601" s="14" t="e">
        <f>#REF!</f>
        <v>#REF!</v>
      </c>
      <c r="B601" s="10" t="e">
        <f>#REF!</f>
        <v>#REF!</v>
      </c>
      <c r="C601" s="9"/>
      <c r="D601" s="9"/>
      <c r="E601" s="9"/>
      <c r="F601" s="115"/>
      <c r="G601" s="116"/>
      <c r="H601" s="199"/>
      <c r="I601" s="117"/>
      <c r="K601" s="99">
        <v>596</v>
      </c>
    </row>
    <row r="602" spans="1:11" s="103" customFormat="1">
      <c r="A602" s="2028" t="e">
        <f>#REF!</f>
        <v>#REF!</v>
      </c>
      <c r="B602" s="2031" t="e">
        <f>#REF!</f>
        <v>#REF!</v>
      </c>
      <c r="C602" s="20"/>
      <c r="D602" s="131" t="s">
        <v>103</v>
      </c>
      <c r="E602" s="20"/>
      <c r="F602" s="100"/>
      <c r="G602" s="101"/>
      <c r="H602" s="133">
        <v>0.8</v>
      </c>
      <c r="I602" s="102">
        <f>H602*I603</f>
        <v>42432</v>
      </c>
      <c r="K602" s="99">
        <v>597</v>
      </c>
    </row>
    <row r="603" spans="1:11" s="103" customFormat="1">
      <c r="A603" s="2029"/>
      <c r="B603" s="2032"/>
      <c r="C603" s="20"/>
      <c r="D603" s="131" t="s">
        <v>104</v>
      </c>
      <c r="E603" s="20"/>
      <c r="F603" s="100"/>
      <c r="G603" s="101"/>
      <c r="H603" s="133">
        <v>1</v>
      </c>
      <c r="I603" s="119">
        <f>SUM(I605:I608)</f>
        <v>53040</v>
      </c>
      <c r="K603" s="99">
        <v>598</v>
      </c>
    </row>
    <row r="604" spans="1:11" s="103" customFormat="1">
      <c r="A604" s="2030"/>
      <c r="B604" s="2033"/>
      <c r="C604" s="20"/>
      <c r="D604" s="131" t="s">
        <v>105</v>
      </c>
      <c r="E604" s="20"/>
      <c r="F604" s="100"/>
      <c r="G604" s="101"/>
      <c r="H604" s="133">
        <v>1.2</v>
      </c>
      <c r="I604" s="119">
        <f>H604*I603</f>
        <v>63648</v>
      </c>
      <c r="K604" s="99">
        <v>599</v>
      </c>
    </row>
    <row r="605" spans="1:11">
      <c r="A605" s="15">
        <v>1</v>
      </c>
      <c r="B605" s="7" t="s">
        <v>73</v>
      </c>
      <c r="C605" s="8" t="str">
        <f>Gia_Tbi!C4</f>
        <v>cái</v>
      </c>
      <c r="D605" s="8">
        <f>Gia_Tbi!D4</f>
        <v>0.4</v>
      </c>
      <c r="E605" s="8">
        <f>Gia_Tbi!E4</f>
        <v>5</v>
      </c>
      <c r="F605" s="104">
        <f>Gia_Tbi!F4</f>
        <v>10000000</v>
      </c>
      <c r="G605" s="105">
        <f>Gia_Tbi!G4</f>
        <v>4000</v>
      </c>
      <c r="H605" s="203">
        <v>10</v>
      </c>
      <c r="I605" s="106">
        <f>G605*H605</f>
        <v>40000</v>
      </c>
      <c r="K605" s="99">
        <v>600</v>
      </c>
    </row>
    <row r="606" spans="1:11">
      <c r="A606" s="15">
        <v>2</v>
      </c>
      <c r="B606" s="7" t="s">
        <v>74</v>
      </c>
      <c r="C606" s="8" t="str">
        <f>Gia_Tbi!C5</f>
        <v>cái</v>
      </c>
      <c r="D606" s="8">
        <f>Gia_Tbi!D5</f>
        <v>0.6</v>
      </c>
      <c r="E606" s="8">
        <f>Gia_Tbi!E5</f>
        <v>5</v>
      </c>
      <c r="F606" s="104">
        <f>Gia_Tbi!F5</f>
        <v>2500000</v>
      </c>
      <c r="G606" s="105">
        <f>Gia_Tbi!G5</f>
        <v>1000</v>
      </c>
      <c r="H606" s="203">
        <v>0.3</v>
      </c>
      <c r="I606" s="106">
        <f>G606*H606</f>
        <v>300</v>
      </c>
      <c r="K606" s="99">
        <v>601</v>
      </c>
    </row>
    <row r="607" spans="1:11">
      <c r="A607" s="15">
        <v>3</v>
      </c>
      <c r="B607" s="7" t="s">
        <v>24</v>
      </c>
      <c r="C607" s="8" t="str">
        <f>Gia_Tbi!C6</f>
        <v>cái</v>
      </c>
      <c r="D607" s="8">
        <f>Gia_Tbi!D6</f>
        <v>2.2000000000000002</v>
      </c>
      <c r="E607" s="8">
        <f>Gia_Tbi!E6</f>
        <v>8</v>
      </c>
      <c r="F607" s="104">
        <f>Gia_Tbi!F6</f>
        <v>12000000</v>
      </c>
      <c r="G607" s="105">
        <f>Gia_Tbi!G6</f>
        <v>3000</v>
      </c>
      <c r="H607" s="203">
        <v>3.33</v>
      </c>
      <c r="I607" s="106">
        <f>G607*H607</f>
        <v>9990</v>
      </c>
      <c r="K607" s="99">
        <v>602</v>
      </c>
    </row>
    <row r="608" spans="1:11">
      <c r="A608" s="15">
        <v>4</v>
      </c>
      <c r="B608" s="7" t="s">
        <v>23</v>
      </c>
      <c r="C608" s="8" t="str">
        <f>Gia_Tbi!C7</f>
        <v>cái</v>
      </c>
      <c r="D608" s="8">
        <f>Gia_Tbi!D7</f>
        <v>1.5</v>
      </c>
      <c r="E608" s="8">
        <f>Gia_Tbi!E7</f>
        <v>8</v>
      </c>
      <c r="F608" s="104">
        <f>Gia_Tbi!F7</f>
        <v>44000000</v>
      </c>
      <c r="G608" s="105">
        <f>Gia_Tbi!G7</f>
        <v>11000</v>
      </c>
      <c r="H608" s="203">
        <v>0.25</v>
      </c>
      <c r="I608" s="106">
        <f>G608*H608</f>
        <v>2750</v>
      </c>
      <c r="K608" s="99">
        <v>603</v>
      </c>
    </row>
    <row r="609" spans="1:11">
      <c r="A609" s="57">
        <v>5</v>
      </c>
      <c r="B609" s="58" t="s">
        <v>8</v>
      </c>
      <c r="C609" s="59" t="str">
        <f>Gia_Tbi!C10</f>
        <v>Cái</v>
      </c>
      <c r="D609" s="59">
        <f>Gia_Tbi!D10</f>
        <v>1</v>
      </c>
      <c r="E609" s="140">
        <f>Gia_Tbi!E10</f>
        <v>10</v>
      </c>
      <c r="F609" s="108">
        <f>Gia_Tbi!F10</f>
        <v>80000000</v>
      </c>
      <c r="G609" s="109">
        <f>Gia_Tbi!G10</f>
        <v>16000</v>
      </c>
      <c r="H609" s="197">
        <f>(H605*D605+H606*D606+H607*D607+H608*D608)*8</f>
        <v>95.048000000000002</v>
      </c>
      <c r="I609" s="144">
        <f>G609*H609*E609</f>
        <v>15207680</v>
      </c>
      <c r="K609" s="99">
        <v>604</v>
      </c>
    </row>
    <row r="610" spans="1:11" s="103" customFormat="1">
      <c r="A610" s="2028" t="e">
        <f>#REF!</f>
        <v>#REF!</v>
      </c>
      <c r="B610" s="2031" t="e">
        <f>#REF!</f>
        <v>#REF!</v>
      </c>
      <c r="C610" s="20"/>
      <c r="D610" s="131" t="s">
        <v>103</v>
      </c>
      <c r="E610" s="20"/>
      <c r="F610" s="100"/>
      <c r="G610" s="101"/>
      <c r="H610" s="133">
        <v>0.8</v>
      </c>
      <c r="I610" s="102">
        <f>H610*I611</f>
        <v>83048</v>
      </c>
      <c r="K610" s="99">
        <v>605</v>
      </c>
    </row>
    <row r="611" spans="1:11" s="103" customFormat="1">
      <c r="A611" s="2029"/>
      <c r="B611" s="2032"/>
      <c r="C611" s="20"/>
      <c r="D611" s="131" t="s">
        <v>104</v>
      </c>
      <c r="E611" s="20"/>
      <c r="F611" s="100"/>
      <c r="G611" s="101"/>
      <c r="H611" s="133">
        <v>1</v>
      </c>
      <c r="I611" s="119">
        <f>SUM(I613:I616)</f>
        <v>103810</v>
      </c>
      <c r="K611" s="99">
        <v>606</v>
      </c>
    </row>
    <row r="612" spans="1:11" s="103" customFormat="1">
      <c r="A612" s="2030"/>
      <c r="B612" s="2033"/>
      <c r="C612" s="20"/>
      <c r="D612" s="131" t="s">
        <v>105</v>
      </c>
      <c r="E612" s="20"/>
      <c r="F612" s="100"/>
      <c r="G612" s="101"/>
      <c r="H612" s="133">
        <v>1.2</v>
      </c>
      <c r="I612" s="119">
        <f>H612*I611</f>
        <v>124572</v>
      </c>
      <c r="K612" s="99">
        <v>607</v>
      </c>
    </row>
    <row r="613" spans="1:11">
      <c r="A613" s="15">
        <v>1</v>
      </c>
      <c r="B613" s="7" t="s">
        <v>73</v>
      </c>
      <c r="C613" s="8" t="str">
        <f>Gia_Tbi!C4</f>
        <v>cái</v>
      </c>
      <c r="D613" s="8">
        <f>Gia_Tbi!D4</f>
        <v>0.4</v>
      </c>
      <c r="E613" s="8">
        <f>Gia_Tbi!E4</f>
        <v>5</v>
      </c>
      <c r="F613" s="104">
        <f>Gia_Tbi!F4</f>
        <v>10000000</v>
      </c>
      <c r="G613" s="105">
        <f>Gia_Tbi!G4</f>
        <v>4000</v>
      </c>
      <c r="H613" s="203">
        <v>20</v>
      </c>
      <c r="I613" s="106">
        <f>G613*H613</f>
        <v>80000</v>
      </c>
      <c r="K613" s="99">
        <v>608</v>
      </c>
    </row>
    <row r="614" spans="1:11">
      <c r="A614" s="15">
        <v>2</v>
      </c>
      <c r="B614" s="7" t="s">
        <v>74</v>
      </c>
      <c r="C614" s="8" t="str">
        <f>Gia_Tbi!C5</f>
        <v>cái</v>
      </c>
      <c r="D614" s="8">
        <f>Gia_Tbi!D5</f>
        <v>0.6</v>
      </c>
      <c r="E614" s="8">
        <f>Gia_Tbi!E5</f>
        <v>5</v>
      </c>
      <c r="F614" s="104">
        <f>Gia_Tbi!F5</f>
        <v>2500000</v>
      </c>
      <c r="G614" s="105">
        <f>Gia_Tbi!G5</f>
        <v>1000</v>
      </c>
      <c r="H614" s="203">
        <v>0.5</v>
      </c>
      <c r="I614" s="106">
        <f>G614*H614</f>
        <v>500</v>
      </c>
      <c r="K614" s="99">
        <v>609</v>
      </c>
    </row>
    <row r="615" spans="1:11">
      <c r="A615" s="15">
        <v>3</v>
      </c>
      <c r="B615" s="7" t="s">
        <v>24</v>
      </c>
      <c r="C615" s="8" t="str">
        <f>Gia_Tbi!C6</f>
        <v>cái</v>
      </c>
      <c r="D615" s="8">
        <f>Gia_Tbi!D6</f>
        <v>2.2000000000000002</v>
      </c>
      <c r="E615" s="8">
        <f>Gia_Tbi!E6</f>
        <v>8</v>
      </c>
      <c r="F615" s="104">
        <f>Gia_Tbi!F6</f>
        <v>12000000</v>
      </c>
      <c r="G615" s="105">
        <f>Gia_Tbi!G6</f>
        <v>3000</v>
      </c>
      <c r="H615" s="203">
        <v>6.67</v>
      </c>
      <c r="I615" s="106">
        <f>G615*H615</f>
        <v>20010</v>
      </c>
      <c r="K615" s="99">
        <v>610</v>
      </c>
    </row>
    <row r="616" spans="1:11">
      <c r="A616" s="15">
        <v>4</v>
      </c>
      <c r="B616" s="7" t="s">
        <v>23</v>
      </c>
      <c r="C616" s="8" t="str">
        <f>Gia_Tbi!C7</f>
        <v>cái</v>
      </c>
      <c r="D616" s="8">
        <f>Gia_Tbi!D7</f>
        <v>1.5</v>
      </c>
      <c r="E616" s="8">
        <f>Gia_Tbi!E7</f>
        <v>8</v>
      </c>
      <c r="F616" s="104">
        <f>Gia_Tbi!F7</f>
        <v>44000000</v>
      </c>
      <c r="G616" s="105">
        <f>Gia_Tbi!G7</f>
        <v>11000</v>
      </c>
      <c r="H616" s="203">
        <v>0.3</v>
      </c>
      <c r="I616" s="106">
        <f>G616*H616</f>
        <v>3300</v>
      </c>
      <c r="K616" s="99">
        <v>611</v>
      </c>
    </row>
    <row r="617" spans="1:11">
      <c r="A617" s="57">
        <v>5</v>
      </c>
      <c r="B617" s="58" t="s">
        <v>8</v>
      </c>
      <c r="C617" s="59" t="str">
        <f>Gia_Tbi!C10</f>
        <v>Cái</v>
      </c>
      <c r="D617" s="59">
        <f>Gia_Tbi!D10</f>
        <v>1</v>
      </c>
      <c r="E617" s="140">
        <f>Gia_Tbi!E10</f>
        <v>10</v>
      </c>
      <c r="F617" s="108">
        <f>Gia_Tbi!F10</f>
        <v>80000000</v>
      </c>
      <c r="G617" s="109">
        <f>Gia_Tbi!G10</f>
        <v>16000</v>
      </c>
      <c r="H617" s="197">
        <f>(H613*D613+H614*D614+H615*D615+H616*D616)*8</f>
        <v>187.39200000000002</v>
      </c>
      <c r="I617" s="144">
        <f>G617*H617*E617</f>
        <v>29982720.000000004</v>
      </c>
      <c r="K617" s="99">
        <v>612</v>
      </c>
    </row>
    <row r="618" spans="1:11" s="103" customFormat="1">
      <c r="A618" s="2028" t="e">
        <f>#REF!</f>
        <v>#REF!</v>
      </c>
      <c r="B618" s="2031" t="e">
        <f>#REF!</f>
        <v>#REF!</v>
      </c>
      <c r="C618" s="20"/>
      <c r="D618" s="131" t="s">
        <v>103</v>
      </c>
      <c r="E618" s="20"/>
      <c r="F618" s="100"/>
      <c r="G618" s="101"/>
      <c r="H618" s="133">
        <v>0.8</v>
      </c>
      <c r="I618" s="102">
        <f>H618*I619</f>
        <v>85296</v>
      </c>
      <c r="K618" s="99">
        <v>613</v>
      </c>
    </row>
    <row r="619" spans="1:11" s="103" customFormat="1">
      <c r="A619" s="2029"/>
      <c r="B619" s="2032"/>
      <c r="C619" s="20"/>
      <c r="D619" s="131" t="s">
        <v>104</v>
      </c>
      <c r="E619" s="20"/>
      <c r="F619" s="100"/>
      <c r="G619" s="101"/>
      <c r="H619" s="133">
        <v>1</v>
      </c>
      <c r="I619" s="119">
        <f>SUM(I621:I624)</f>
        <v>106620</v>
      </c>
      <c r="K619" s="99">
        <v>614</v>
      </c>
    </row>
    <row r="620" spans="1:11" s="103" customFormat="1">
      <c r="A620" s="2030"/>
      <c r="B620" s="2033"/>
      <c r="C620" s="20"/>
      <c r="D620" s="131" t="s">
        <v>105</v>
      </c>
      <c r="E620" s="20"/>
      <c r="F620" s="100"/>
      <c r="G620" s="101"/>
      <c r="H620" s="133">
        <v>1.2</v>
      </c>
      <c r="I620" s="119">
        <f>H620*I619</f>
        <v>127944</v>
      </c>
      <c r="K620" s="99">
        <v>615</v>
      </c>
    </row>
    <row r="621" spans="1:11">
      <c r="A621" s="15">
        <v>1</v>
      </c>
      <c r="B621" s="7" t="s">
        <v>73</v>
      </c>
      <c r="C621" s="8" t="str">
        <f>Gia_Tbi!C4</f>
        <v>cái</v>
      </c>
      <c r="D621" s="8">
        <f>Gia_Tbi!D4</f>
        <v>0.4</v>
      </c>
      <c r="E621" s="8">
        <f>Gia_Tbi!E4</f>
        <v>5</v>
      </c>
      <c r="F621" s="104">
        <f>Gia_Tbi!F4</f>
        <v>10000000</v>
      </c>
      <c r="G621" s="105">
        <f>Gia_Tbi!G4</f>
        <v>4000</v>
      </c>
      <c r="H621" s="203">
        <v>20</v>
      </c>
      <c r="I621" s="106">
        <f>G621*H621</f>
        <v>80000</v>
      </c>
      <c r="K621" s="99">
        <v>616</v>
      </c>
    </row>
    <row r="622" spans="1:11">
      <c r="A622" s="15">
        <v>2</v>
      </c>
      <c r="B622" s="7" t="s">
        <v>74</v>
      </c>
      <c r="C622" s="8" t="str">
        <f>Gia_Tbi!C5</f>
        <v>cái</v>
      </c>
      <c r="D622" s="8">
        <f>Gia_Tbi!D5</f>
        <v>0.6</v>
      </c>
      <c r="E622" s="8">
        <f>Gia_Tbi!E5</f>
        <v>5</v>
      </c>
      <c r="F622" s="104">
        <f>Gia_Tbi!F5</f>
        <v>2500000</v>
      </c>
      <c r="G622" s="105">
        <f>Gia_Tbi!G5</f>
        <v>1000</v>
      </c>
      <c r="H622" s="203">
        <v>0.45</v>
      </c>
      <c r="I622" s="106">
        <f>G622*H622</f>
        <v>450</v>
      </c>
      <c r="K622" s="99">
        <v>617</v>
      </c>
    </row>
    <row r="623" spans="1:11">
      <c r="A623" s="15">
        <v>3</v>
      </c>
      <c r="B623" s="7" t="s">
        <v>24</v>
      </c>
      <c r="C623" s="8" t="str">
        <f>Gia_Tbi!C6</f>
        <v>cái</v>
      </c>
      <c r="D623" s="8">
        <f>Gia_Tbi!D6</f>
        <v>2.2000000000000002</v>
      </c>
      <c r="E623" s="8">
        <f>Gia_Tbi!E6</f>
        <v>8</v>
      </c>
      <c r="F623" s="104">
        <f>Gia_Tbi!F6</f>
        <v>12000000</v>
      </c>
      <c r="G623" s="105">
        <f>Gia_Tbi!G6</f>
        <v>3000</v>
      </c>
      <c r="H623" s="203">
        <v>6.67</v>
      </c>
      <c r="I623" s="106">
        <f>G623*H623</f>
        <v>20010</v>
      </c>
      <c r="K623" s="99">
        <v>618</v>
      </c>
    </row>
    <row r="624" spans="1:11">
      <c r="A624" s="15">
        <v>4</v>
      </c>
      <c r="B624" s="7" t="s">
        <v>23</v>
      </c>
      <c r="C624" s="8" t="str">
        <f>Gia_Tbi!C7</f>
        <v>cái</v>
      </c>
      <c r="D624" s="8">
        <f>Gia_Tbi!D7</f>
        <v>1.5</v>
      </c>
      <c r="E624" s="8">
        <f>Gia_Tbi!E7</f>
        <v>8</v>
      </c>
      <c r="F624" s="104">
        <f>Gia_Tbi!F7</f>
        <v>44000000</v>
      </c>
      <c r="G624" s="105">
        <f>Gia_Tbi!G7</f>
        <v>11000</v>
      </c>
      <c r="H624" s="203">
        <v>0.56000000000000005</v>
      </c>
      <c r="I624" s="106">
        <f>G624*H624</f>
        <v>6160.0000000000009</v>
      </c>
      <c r="K624" s="99">
        <v>619</v>
      </c>
    </row>
    <row r="625" spans="1:11">
      <c r="A625" s="57">
        <v>5</v>
      </c>
      <c r="B625" s="58" t="s">
        <v>8</v>
      </c>
      <c r="C625" s="59" t="str">
        <f>Gia_Tbi!C10</f>
        <v>Cái</v>
      </c>
      <c r="D625" s="59">
        <f>Gia_Tbi!D10</f>
        <v>1</v>
      </c>
      <c r="E625" s="140">
        <f>Gia_Tbi!E10</f>
        <v>10</v>
      </c>
      <c r="F625" s="108">
        <f>Gia_Tbi!F10</f>
        <v>80000000</v>
      </c>
      <c r="G625" s="109">
        <f>Gia_Tbi!G10</f>
        <v>16000</v>
      </c>
      <c r="H625" s="197">
        <f>(H621*D621+H622*D622+H623*D623+H624*D624)*8</f>
        <v>190.27200000000002</v>
      </c>
      <c r="I625" s="144">
        <f>G625*H625*E625</f>
        <v>30443520.000000004</v>
      </c>
      <c r="K625" s="99">
        <v>620</v>
      </c>
    </row>
    <row r="626" spans="1:11" s="103" customFormat="1">
      <c r="A626" s="2028" t="e">
        <f>#REF!</f>
        <v>#REF!</v>
      </c>
      <c r="B626" s="2031" t="e">
        <f>#REF!</f>
        <v>#REF!</v>
      </c>
      <c r="C626" s="20"/>
      <c r="D626" s="131" t="s">
        <v>103</v>
      </c>
      <c r="E626" s="20"/>
      <c r="F626" s="100"/>
      <c r="G626" s="101"/>
      <c r="H626" s="133">
        <v>0.8</v>
      </c>
      <c r="I626" s="102">
        <f>H626*I627</f>
        <v>43896</v>
      </c>
      <c r="K626" s="99">
        <v>621</v>
      </c>
    </row>
    <row r="627" spans="1:11" s="103" customFormat="1">
      <c r="A627" s="2029"/>
      <c r="B627" s="2032"/>
      <c r="C627" s="20"/>
      <c r="D627" s="131" t="s">
        <v>104</v>
      </c>
      <c r="E627" s="20"/>
      <c r="F627" s="100"/>
      <c r="G627" s="101"/>
      <c r="H627" s="133">
        <v>1</v>
      </c>
      <c r="I627" s="119">
        <f>SUM(I629:I632)</f>
        <v>54870</v>
      </c>
      <c r="K627" s="99">
        <v>622</v>
      </c>
    </row>
    <row r="628" spans="1:11" s="103" customFormat="1">
      <c r="A628" s="2030"/>
      <c r="B628" s="2033"/>
      <c r="C628" s="20"/>
      <c r="D628" s="131" t="s">
        <v>105</v>
      </c>
      <c r="E628" s="20"/>
      <c r="F628" s="100"/>
      <c r="G628" s="101"/>
      <c r="H628" s="133">
        <v>1.2</v>
      </c>
      <c r="I628" s="119">
        <f>H628*I627</f>
        <v>65844</v>
      </c>
      <c r="K628" s="99">
        <v>623</v>
      </c>
    </row>
    <row r="629" spans="1:11">
      <c r="A629" s="15">
        <v>1</v>
      </c>
      <c r="B629" s="7" t="s">
        <v>73</v>
      </c>
      <c r="C629" s="8" t="str">
        <f>Gia_Tbi!C4</f>
        <v>cái</v>
      </c>
      <c r="D629" s="8">
        <f>Gia_Tbi!D4</f>
        <v>0.4</v>
      </c>
      <c r="E629" s="8">
        <f>Gia_Tbi!E4</f>
        <v>5</v>
      </c>
      <c r="F629" s="104">
        <f>Gia_Tbi!F4</f>
        <v>10000000</v>
      </c>
      <c r="G629" s="105">
        <f>Gia_Tbi!G4</f>
        <v>4000</v>
      </c>
      <c r="H629" s="203">
        <v>10</v>
      </c>
      <c r="I629" s="106">
        <f>G629*H629</f>
        <v>40000</v>
      </c>
      <c r="K629" s="99">
        <v>624</v>
      </c>
    </row>
    <row r="630" spans="1:11">
      <c r="A630" s="15">
        <v>2</v>
      </c>
      <c r="B630" s="7" t="s">
        <v>74</v>
      </c>
      <c r="C630" s="8" t="str">
        <f>Gia_Tbi!C5</f>
        <v>cái</v>
      </c>
      <c r="D630" s="8">
        <f>Gia_Tbi!D5</f>
        <v>0.6</v>
      </c>
      <c r="E630" s="8">
        <f>Gia_Tbi!E5</f>
        <v>5</v>
      </c>
      <c r="F630" s="104">
        <f>Gia_Tbi!F5</f>
        <v>2500000</v>
      </c>
      <c r="G630" s="105">
        <f>Gia_Tbi!G5</f>
        <v>1000</v>
      </c>
      <c r="H630" s="203">
        <v>0.26</v>
      </c>
      <c r="I630" s="106">
        <f>G630*H630</f>
        <v>260</v>
      </c>
      <c r="K630" s="99">
        <v>625</v>
      </c>
    </row>
    <row r="631" spans="1:11">
      <c r="A631" s="15">
        <v>3</v>
      </c>
      <c r="B631" s="7" t="s">
        <v>24</v>
      </c>
      <c r="C631" s="8" t="str">
        <f>Gia_Tbi!C6</f>
        <v>cái</v>
      </c>
      <c r="D631" s="8">
        <f>Gia_Tbi!D6</f>
        <v>2.2000000000000002</v>
      </c>
      <c r="E631" s="8">
        <f>Gia_Tbi!E6</f>
        <v>8</v>
      </c>
      <c r="F631" s="104">
        <f>Gia_Tbi!F6</f>
        <v>12000000</v>
      </c>
      <c r="G631" s="105">
        <f>Gia_Tbi!G6</f>
        <v>3000</v>
      </c>
      <c r="H631" s="203">
        <v>3.33</v>
      </c>
      <c r="I631" s="106">
        <f>G631*H631</f>
        <v>9990</v>
      </c>
      <c r="K631" s="99">
        <v>626</v>
      </c>
    </row>
    <row r="632" spans="1:11">
      <c r="A632" s="15">
        <v>4</v>
      </c>
      <c r="B632" s="7" t="s">
        <v>23</v>
      </c>
      <c r="C632" s="8" t="str">
        <f>Gia_Tbi!C7</f>
        <v>cái</v>
      </c>
      <c r="D632" s="8">
        <f>Gia_Tbi!D7</f>
        <v>1.5</v>
      </c>
      <c r="E632" s="8">
        <f>Gia_Tbi!E7</f>
        <v>8</v>
      </c>
      <c r="F632" s="104">
        <f>Gia_Tbi!F7</f>
        <v>44000000</v>
      </c>
      <c r="G632" s="105">
        <f>Gia_Tbi!G7</f>
        <v>11000</v>
      </c>
      <c r="H632" s="203">
        <v>0.42</v>
      </c>
      <c r="I632" s="106">
        <f>G632*H632</f>
        <v>4620</v>
      </c>
      <c r="K632" s="99">
        <v>627</v>
      </c>
    </row>
    <row r="633" spans="1:11">
      <c r="A633" s="57">
        <v>5</v>
      </c>
      <c r="B633" s="58" t="s">
        <v>8</v>
      </c>
      <c r="C633" s="59" t="str">
        <f>Gia_Tbi!C10</f>
        <v>Cái</v>
      </c>
      <c r="D633" s="59">
        <f>Gia_Tbi!D10</f>
        <v>1</v>
      </c>
      <c r="E633" s="140">
        <f>Gia_Tbi!E10</f>
        <v>10</v>
      </c>
      <c r="F633" s="108">
        <f>Gia_Tbi!F10</f>
        <v>80000000</v>
      </c>
      <c r="G633" s="109">
        <f>Gia_Tbi!G10</f>
        <v>16000</v>
      </c>
      <c r="H633" s="197">
        <f>(H629*D629+H630*D630+H631*D631+H632*D632)*8</f>
        <v>96.896000000000001</v>
      </c>
      <c r="I633" s="144">
        <f>G633*H633*E633</f>
        <v>15503360</v>
      </c>
      <c r="K633" s="99">
        <v>628</v>
      </c>
    </row>
    <row r="634" spans="1:11" s="103" customFormat="1">
      <c r="A634" s="2028" t="e">
        <f>#REF!</f>
        <v>#REF!</v>
      </c>
      <c r="B634" s="2031" t="e">
        <f>#REF!</f>
        <v>#REF!</v>
      </c>
      <c r="C634" s="20"/>
      <c r="D634" s="131" t="s">
        <v>103</v>
      </c>
      <c r="E634" s="20"/>
      <c r="F634" s="100"/>
      <c r="G634" s="101"/>
      <c r="H634" s="133">
        <v>0.8</v>
      </c>
      <c r="I634" s="102">
        <f>H634*I635</f>
        <v>135832</v>
      </c>
      <c r="K634" s="99">
        <v>629</v>
      </c>
    </row>
    <row r="635" spans="1:11" s="103" customFormat="1">
      <c r="A635" s="2029"/>
      <c r="B635" s="2032"/>
      <c r="C635" s="20"/>
      <c r="D635" s="131" t="s">
        <v>104</v>
      </c>
      <c r="E635" s="20"/>
      <c r="F635" s="100"/>
      <c r="G635" s="101"/>
      <c r="H635" s="133">
        <v>1</v>
      </c>
      <c r="I635" s="119">
        <f>SUM(I637:I640)</f>
        <v>169790</v>
      </c>
      <c r="K635" s="99">
        <v>630</v>
      </c>
    </row>
    <row r="636" spans="1:11" s="103" customFormat="1">
      <c r="A636" s="2030"/>
      <c r="B636" s="2033"/>
      <c r="C636" s="20"/>
      <c r="D636" s="131" t="s">
        <v>105</v>
      </c>
      <c r="E636" s="20"/>
      <c r="F636" s="100"/>
      <c r="G636" s="101"/>
      <c r="H636" s="133">
        <v>1.2</v>
      </c>
      <c r="I636" s="119">
        <f>H636*I635</f>
        <v>203748</v>
      </c>
      <c r="K636" s="99">
        <v>631</v>
      </c>
    </row>
    <row r="637" spans="1:11">
      <c r="A637" s="15">
        <v>1</v>
      </c>
      <c r="B637" s="7" t="s">
        <v>73</v>
      </c>
      <c r="C637" s="8" t="str">
        <f>Gia_Tbi!C4</f>
        <v>cái</v>
      </c>
      <c r="D637" s="8">
        <f>Gia_Tbi!D4</f>
        <v>0.4</v>
      </c>
      <c r="E637" s="8">
        <f>Gia_Tbi!E4</f>
        <v>5</v>
      </c>
      <c r="F637" s="104">
        <f>Gia_Tbi!F4</f>
        <v>10000000</v>
      </c>
      <c r="G637" s="105">
        <f>Gia_Tbi!G4</f>
        <v>4000</v>
      </c>
      <c r="H637" s="203">
        <v>30</v>
      </c>
      <c r="I637" s="106">
        <f>G637*H637</f>
        <v>120000</v>
      </c>
      <c r="K637" s="99">
        <v>632</v>
      </c>
    </row>
    <row r="638" spans="1:11">
      <c r="A638" s="15">
        <v>2</v>
      </c>
      <c r="B638" s="7" t="s">
        <v>74</v>
      </c>
      <c r="C638" s="8" t="str">
        <f>Gia_Tbi!C5</f>
        <v>cái</v>
      </c>
      <c r="D638" s="8">
        <f>Gia_Tbi!D5</f>
        <v>0.6</v>
      </c>
      <c r="E638" s="8">
        <f>Gia_Tbi!E5</f>
        <v>5</v>
      </c>
      <c r="F638" s="104">
        <f>Gia_Tbi!F5</f>
        <v>2500000</v>
      </c>
      <c r="G638" s="105">
        <f>Gia_Tbi!G5</f>
        <v>1000</v>
      </c>
      <c r="H638" s="203">
        <v>10</v>
      </c>
      <c r="I638" s="106">
        <f>G638*H638</f>
        <v>10000</v>
      </c>
      <c r="K638" s="99">
        <v>633</v>
      </c>
    </row>
    <row r="639" spans="1:11">
      <c r="A639" s="15">
        <v>3</v>
      </c>
      <c r="B639" s="7" t="s">
        <v>24</v>
      </c>
      <c r="C639" s="8" t="str">
        <f>Gia_Tbi!C6</f>
        <v>cái</v>
      </c>
      <c r="D639" s="8">
        <f>Gia_Tbi!D6</f>
        <v>2.2000000000000002</v>
      </c>
      <c r="E639" s="8">
        <f>Gia_Tbi!E6</f>
        <v>8</v>
      </c>
      <c r="F639" s="104">
        <f>Gia_Tbi!F6</f>
        <v>12000000</v>
      </c>
      <c r="G639" s="105">
        <f>Gia_Tbi!G6</f>
        <v>3000</v>
      </c>
      <c r="H639" s="203">
        <v>10</v>
      </c>
      <c r="I639" s="106">
        <f>G639*H639</f>
        <v>30000</v>
      </c>
      <c r="K639" s="99">
        <v>634</v>
      </c>
    </row>
    <row r="640" spans="1:11">
      <c r="A640" s="15">
        <v>4</v>
      </c>
      <c r="B640" s="7" t="s">
        <v>23</v>
      </c>
      <c r="C640" s="8" t="str">
        <f>Gia_Tbi!C7</f>
        <v>cái</v>
      </c>
      <c r="D640" s="8">
        <f>Gia_Tbi!D7</f>
        <v>1.5</v>
      </c>
      <c r="E640" s="8">
        <f>Gia_Tbi!E7</f>
        <v>8</v>
      </c>
      <c r="F640" s="104">
        <f>Gia_Tbi!F7</f>
        <v>44000000</v>
      </c>
      <c r="G640" s="105">
        <f>Gia_Tbi!G7</f>
        <v>11000</v>
      </c>
      <c r="H640" s="203">
        <v>0.89</v>
      </c>
      <c r="I640" s="106">
        <f>G640*H640</f>
        <v>9790</v>
      </c>
      <c r="K640" s="99">
        <v>635</v>
      </c>
    </row>
    <row r="641" spans="1:11">
      <c r="A641" s="57">
        <v>5</v>
      </c>
      <c r="B641" s="58" t="s">
        <v>8</v>
      </c>
      <c r="C641" s="59" t="str">
        <f>Gia_Tbi!C10</f>
        <v>Cái</v>
      </c>
      <c r="D641" s="59">
        <f>Gia_Tbi!D10</f>
        <v>1</v>
      </c>
      <c r="E641" s="140">
        <f>Gia_Tbi!E10</f>
        <v>10</v>
      </c>
      <c r="F641" s="108">
        <f>Gia_Tbi!F10</f>
        <v>80000000</v>
      </c>
      <c r="G641" s="109">
        <f>Gia_Tbi!G10</f>
        <v>16000</v>
      </c>
      <c r="H641" s="197">
        <f>(H637*D637+H638*D638+H639*D639+H640*D640)*8</f>
        <v>330.68</v>
      </c>
      <c r="I641" s="144">
        <f>G641*H641*E641</f>
        <v>52908800</v>
      </c>
      <c r="K641" s="99">
        <v>636</v>
      </c>
    </row>
    <row r="642" spans="1:11" s="103" customFormat="1">
      <c r="A642" s="44" t="e">
        <f>#REF!</f>
        <v>#REF!</v>
      </c>
      <c r="B642" s="45" t="e">
        <f>#REF!</f>
        <v>#REF!</v>
      </c>
      <c r="C642" s="20"/>
      <c r="D642" s="20"/>
      <c r="E642" s="20"/>
      <c r="F642" s="100"/>
      <c r="G642" s="101"/>
      <c r="H642" s="133"/>
      <c r="I642" s="102">
        <f>SUM(I643:I646)</f>
        <v>161500</v>
      </c>
      <c r="K642" s="99">
        <v>637</v>
      </c>
    </row>
    <row r="643" spans="1:11">
      <c r="A643" s="15">
        <v>1</v>
      </c>
      <c r="B643" s="7" t="s">
        <v>73</v>
      </c>
      <c r="C643" s="8" t="str">
        <f>Gia_Tbi!C4</f>
        <v>cái</v>
      </c>
      <c r="D643" s="8">
        <f>Gia_Tbi!D4</f>
        <v>0.4</v>
      </c>
      <c r="E643" s="8">
        <f>Gia_Tbi!E4</f>
        <v>5</v>
      </c>
      <c r="F643" s="104">
        <f>Gia_Tbi!F4</f>
        <v>10000000</v>
      </c>
      <c r="G643" s="105">
        <f>Gia_Tbi!G4</f>
        <v>4000</v>
      </c>
      <c r="H643" s="203">
        <v>24</v>
      </c>
      <c r="I643" s="106">
        <f>G643*H643</f>
        <v>96000</v>
      </c>
      <c r="K643" s="99">
        <v>638</v>
      </c>
    </row>
    <row r="644" spans="1:11">
      <c r="A644" s="15">
        <v>2</v>
      </c>
      <c r="B644" s="7" t="s">
        <v>74</v>
      </c>
      <c r="C644" s="8" t="str">
        <f>Gia_Tbi!C5</f>
        <v>cái</v>
      </c>
      <c r="D644" s="8">
        <f>Gia_Tbi!D5</f>
        <v>0.6</v>
      </c>
      <c r="E644" s="8">
        <f>Gia_Tbi!E5</f>
        <v>5</v>
      </c>
      <c r="F644" s="104">
        <f>Gia_Tbi!F5</f>
        <v>2500000</v>
      </c>
      <c r="G644" s="105">
        <f>Gia_Tbi!G5</f>
        <v>1000</v>
      </c>
      <c r="H644" s="203">
        <v>3</v>
      </c>
      <c r="I644" s="106">
        <f>G644*H644</f>
        <v>3000</v>
      </c>
      <c r="K644" s="99">
        <v>639</v>
      </c>
    </row>
    <row r="645" spans="1:11">
      <c r="A645" s="15">
        <v>3</v>
      </c>
      <c r="B645" s="7" t="s">
        <v>24</v>
      </c>
      <c r="C645" s="8" t="str">
        <f>Gia_Tbi!C6</f>
        <v>cái</v>
      </c>
      <c r="D645" s="8">
        <f>Gia_Tbi!D6</f>
        <v>2.2000000000000002</v>
      </c>
      <c r="E645" s="8">
        <f>Gia_Tbi!E6</f>
        <v>8</v>
      </c>
      <c r="F645" s="104">
        <f>Gia_Tbi!F6</f>
        <v>12000000</v>
      </c>
      <c r="G645" s="105">
        <f>Gia_Tbi!G6</f>
        <v>3000</v>
      </c>
      <c r="H645" s="203">
        <v>8</v>
      </c>
      <c r="I645" s="106">
        <f>G645*H645</f>
        <v>24000</v>
      </c>
      <c r="K645" s="99">
        <v>640</v>
      </c>
    </row>
    <row r="646" spans="1:11">
      <c r="A646" s="15">
        <v>4</v>
      </c>
      <c r="B646" s="7" t="s">
        <v>23</v>
      </c>
      <c r="C646" s="8" t="str">
        <f>Gia_Tbi!C7</f>
        <v>cái</v>
      </c>
      <c r="D646" s="8">
        <f>Gia_Tbi!D7</f>
        <v>1.5</v>
      </c>
      <c r="E646" s="8">
        <f>Gia_Tbi!E7</f>
        <v>8</v>
      </c>
      <c r="F646" s="104">
        <f>Gia_Tbi!F7</f>
        <v>44000000</v>
      </c>
      <c r="G646" s="105">
        <f>Gia_Tbi!G7</f>
        <v>11000</v>
      </c>
      <c r="H646" s="203">
        <v>3.5</v>
      </c>
      <c r="I646" s="106">
        <f>G646*H646</f>
        <v>38500</v>
      </c>
      <c r="K646" s="99">
        <v>641</v>
      </c>
    </row>
    <row r="647" spans="1:11">
      <c r="A647" s="57">
        <v>5</v>
      </c>
      <c r="B647" s="58" t="s">
        <v>8</v>
      </c>
      <c r="C647" s="59" t="str">
        <f>Gia_Tbi!C10</f>
        <v>Cái</v>
      </c>
      <c r="D647" s="59">
        <f>Gia_Tbi!D10</f>
        <v>1</v>
      </c>
      <c r="E647" s="140">
        <f>Gia_Tbi!E10</f>
        <v>10</v>
      </c>
      <c r="F647" s="108">
        <f>Gia_Tbi!F10</f>
        <v>80000000</v>
      </c>
      <c r="G647" s="109">
        <f>Gia_Tbi!G10</f>
        <v>16000</v>
      </c>
      <c r="H647" s="197">
        <f>(H643*D643+H644*D644+H645*D645+H646*D646)*8</f>
        <v>274</v>
      </c>
      <c r="I647" s="144">
        <f>G647*H647*E647</f>
        <v>43840000</v>
      </c>
      <c r="K647" s="99">
        <v>642</v>
      </c>
    </row>
    <row r="648" spans="1:11" s="6" customFormat="1">
      <c r="A648" s="14" t="e">
        <f>#REF!</f>
        <v>#REF!</v>
      </c>
      <c r="B648" s="10" t="e">
        <f>#REF!</f>
        <v>#REF!</v>
      </c>
      <c r="C648" s="9"/>
      <c r="D648" s="9"/>
      <c r="E648" s="9"/>
      <c r="F648" s="115"/>
      <c r="G648" s="116"/>
      <c r="H648" s="199"/>
      <c r="I648" s="117"/>
      <c r="K648" s="99">
        <v>643</v>
      </c>
    </row>
    <row r="649" spans="1:11" s="103" customFormat="1">
      <c r="A649" s="44" t="e">
        <f>#REF!</f>
        <v>#REF!</v>
      </c>
      <c r="B649" s="45" t="e">
        <f>#REF!</f>
        <v>#REF!</v>
      </c>
      <c r="C649" s="20"/>
      <c r="D649" s="20"/>
      <c r="E649" s="20"/>
      <c r="F649" s="100"/>
      <c r="G649" s="101"/>
      <c r="H649" s="133"/>
      <c r="I649" s="102">
        <f>I650+I656</f>
        <v>867520</v>
      </c>
      <c r="K649" s="99">
        <v>644</v>
      </c>
    </row>
    <row r="650" spans="1:11" s="103" customFormat="1" ht="31.5">
      <c r="A650" s="44" t="s">
        <v>64</v>
      </c>
      <c r="B650" s="45" t="s">
        <v>90</v>
      </c>
      <c r="C650" s="20"/>
      <c r="D650" s="20"/>
      <c r="E650" s="20"/>
      <c r="F650" s="100"/>
      <c r="G650" s="101"/>
      <c r="H650" s="133"/>
      <c r="I650" s="102">
        <f>SUM(I651:I654)</f>
        <v>197510</v>
      </c>
      <c r="K650" s="99">
        <v>645</v>
      </c>
    </row>
    <row r="651" spans="1:11">
      <c r="A651" s="15">
        <v>1</v>
      </c>
      <c r="B651" s="7" t="s">
        <v>73</v>
      </c>
      <c r="C651" s="8" t="str">
        <f>Gia_Tbi!C4</f>
        <v>cái</v>
      </c>
      <c r="D651" s="8">
        <f>Gia_Tbi!D4</f>
        <v>0.4</v>
      </c>
      <c r="E651" s="8">
        <f>Gia_Tbi!E4</f>
        <v>5</v>
      </c>
      <c r="F651" s="104">
        <f>Gia_Tbi!F4</f>
        <v>10000000</v>
      </c>
      <c r="G651" s="105">
        <f>Gia_Tbi!G4</f>
        <v>4000</v>
      </c>
      <c r="H651" s="203">
        <v>40</v>
      </c>
      <c r="I651" s="106">
        <f>G651*H651</f>
        <v>160000</v>
      </c>
      <c r="K651" s="99">
        <v>646</v>
      </c>
    </row>
    <row r="652" spans="1:11">
      <c r="A652" s="15">
        <v>2</v>
      </c>
      <c r="B652" s="7" t="s">
        <v>74</v>
      </c>
      <c r="C652" s="8" t="str">
        <f>Gia_Tbi!C5</f>
        <v>cái</v>
      </c>
      <c r="D652" s="8">
        <f>Gia_Tbi!D5</f>
        <v>0.6</v>
      </c>
      <c r="E652" s="8">
        <f>Gia_Tbi!E5</f>
        <v>5</v>
      </c>
      <c r="F652" s="104">
        <f>Gia_Tbi!F5</f>
        <v>2500000</v>
      </c>
      <c r="G652" s="105">
        <f>Gia_Tbi!G5</f>
        <v>1000</v>
      </c>
      <c r="H652" s="203">
        <v>1</v>
      </c>
      <c r="I652" s="106">
        <f>G652*H652</f>
        <v>1000</v>
      </c>
      <c r="K652" s="99">
        <v>647</v>
      </c>
    </row>
    <row r="653" spans="1:11">
      <c r="A653" s="15">
        <v>3</v>
      </c>
      <c r="B653" s="7" t="s">
        <v>24</v>
      </c>
      <c r="C653" s="8" t="str">
        <f>Gia_Tbi!C6</f>
        <v>cái</v>
      </c>
      <c r="D653" s="8">
        <f>Gia_Tbi!D6</f>
        <v>2.2000000000000002</v>
      </c>
      <c r="E653" s="8">
        <f>Gia_Tbi!E6</f>
        <v>8</v>
      </c>
      <c r="F653" s="104">
        <f>Gia_Tbi!F6</f>
        <v>12000000</v>
      </c>
      <c r="G653" s="105">
        <f>Gia_Tbi!G6</f>
        <v>3000</v>
      </c>
      <c r="H653" s="203">
        <v>6.67</v>
      </c>
      <c r="I653" s="106">
        <f>G653*H653</f>
        <v>20010</v>
      </c>
      <c r="K653" s="99">
        <v>648</v>
      </c>
    </row>
    <row r="654" spans="1:11">
      <c r="A654" s="15">
        <v>4</v>
      </c>
      <c r="B654" s="7" t="s">
        <v>23</v>
      </c>
      <c r="C654" s="8" t="str">
        <f>Gia_Tbi!C7</f>
        <v>cái</v>
      </c>
      <c r="D654" s="8">
        <f>Gia_Tbi!D7</f>
        <v>1.5</v>
      </c>
      <c r="E654" s="8">
        <f>Gia_Tbi!E7</f>
        <v>8</v>
      </c>
      <c r="F654" s="104">
        <f>Gia_Tbi!F7</f>
        <v>44000000</v>
      </c>
      <c r="G654" s="105">
        <f>Gia_Tbi!G7</f>
        <v>11000</v>
      </c>
      <c r="H654" s="203">
        <v>1.5</v>
      </c>
      <c r="I654" s="106">
        <f>G654*H654</f>
        <v>16500</v>
      </c>
      <c r="K654" s="99">
        <v>649</v>
      </c>
    </row>
    <row r="655" spans="1:11">
      <c r="A655" s="57">
        <v>5</v>
      </c>
      <c r="B655" s="58" t="s">
        <v>8</v>
      </c>
      <c r="C655" s="59" t="str">
        <f>Gia_Tbi!C10</f>
        <v>Cái</v>
      </c>
      <c r="D655" s="59">
        <f>Gia_Tbi!D10</f>
        <v>1</v>
      </c>
      <c r="E655" s="140">
        <f>Gia_Tbi!E10</f>
        <v>10</v>
      </c>
      <c r="F655" s="108">
        <f>Gia_Tbi!F10</f>
        <v>80000000</v>
      </c>
      <c r="G655" s="109">
        <f>Gia_Tbi!G10</f>
        <v>16000</v>
      </c>
      <c r="H655" s="197">
        <f>(H651*D651+H652*D652+H653*D653+H654*D654)*8</f>
        <v>268.19200000000001</v>
      </c>
      <c r="I655" s="144">
        <f>G655*H655*E655</f>
        <v>42910720</v>
      </c>
      <c r="K655" s="99">
        <v>650</v>
      </c>
    </row>
    <row r="656" spans="1:11" s="103" customFormat="1" ht="31.5">
      <c r="A656" s="44" t="s">
        <v>65</v>
      </c>
      <c r="B656" s="45" t="s">
        <v>92</v>
      </c>
      <c r="C656" s="20"/>
      <c r="D656" s="20"/>
      <c r="E656" s="20"/>
      <c r="F656" s="100"/>
      <c r="G656" s="101"/>
      <c r="H656" s="133"/>
      <c r="I656" s="102">
        <f>SUM(I657:I660)</f>
        <v>670010</v>
      </c>
      <c r="K656" s="99">
        <v>651</v>
      </c>
    </row>
    <row r="657" spans="1:11">
      <c r="A657" s="15">
        <v>1</v>
      </c>
      <c r="B657" s="7" t="s">
        <v>73</v>
      </c>
      <c r="C657" s="8" t="str">
        <f>Gia_Tbi!C4</f>
        <v>cái</v>
      </c>
      <c r="D657" s="8">
        <f>Gia_Tbi!D4</f>
        <v>0.4</v>
      </c>
      <c r="E657" s="8">
        <f>Gia_Tbi!E4</f>
        <v>5</v>
      </c>
      <c r="F657" s="104">
        <f>Gia_Tbi!F4</f>
        <v>10000000</v>
      </c>
      <c r="G657" s="105">
        <f>Gia_Tbi!G4</f>
        <v>4000</v>
      </c>
      <c r="H657" s="203">
        <v>125</v>
      </c>
      <c r="I657" s="106">
        <f>G657*H657</f>
        <v>500000</v>
      </c>
      <c r="K657" s="99">
        <v>652</v>
      </c>
    </row>
    <row r="658" spans="1:11">
      <c r="A658" s="15">
        <v>2</v>
      </c>
      <c r="B658" s="7" t="s">
        <v>74</v>
      </c>
      <c r="C658" s="8" t="str">
        <f>Gia_Tbi!C5</f>
        <v>cái</v>
      </c>
      <c r="D658" s="8">
        <f>Gia_Tbi!D5</f>
        <v>0.6</v>
      </c>
      <c r="E658" s="8">
        <f>Gia_Tbi!E5</f>
        <v>5</v>
      </c>
      <c r="F658" s="104">
        <f>Gia_Tbi!F5</f>
        <v>2500000</v>
      </c>
      <c r="G658" s="105">
        <f>Gia_Tbi!G5</f>
        <v>1000</v>
      </c>
      <c r="H658" s="203">
        <v>6.5</v>
      </c>
      <c r="I658" s="106">
        <f>G658*H658</f>
        <v>6500</v>
      </c>
      <c r="K658" s="99">
        <v>653</v>
      </c>
    </row>
    <row r="659" spans="1:11">
      <c r="A659" s="15">
        <v>3</v>
      </c>
      <c r="B659" s="7" t="s">
        <v>24</v>
      </c>
      <c r="C659" s="8" t="str">
        <f>Gia_Tbi!C6</f>
        <v>cái</v>
      </c>
      <c r="D659" s="8">
        <f>Gia_Tbi!D6</f>
        <v>2.2000000000000002</v>
      </c>
      <c r="E659" s="8">
        <f>Gia_Tbi!E6</f>
        <v>8</v>
      </c>
      <c r="F659" s="104">
        <f>Gia_Tbi!F6</f>
        <v>12000000</v>
      </c>
      <c r="G659" s="105">
        <f>Gia_Tbi!G6</f>
        <v>3000</v>
      </c>
      <c r="H659" s="203">
        <v>41.67</v>
      </c>
      <c r="I659" s="106">
        <f>G659*H659</f>
        <v>125010</v>
      </c>
      <c r="K659" s="99">
        <v>654</v>
      </c>
    </row>
    <row r="660" spans="1:11">
      <c r="A660" s="15">
        <v>4</v>
      </c>
      <c r="B660" s="7" t="s">
        <v>23</v>
      </c>
      <c r="C660" s="8" t="str">
        <f>Gia_Tbi!C7</f>
        <v>cái</v>
      </c>
      <c r="D660" s="8">
        <f>Gia_Tbi!D7</f>
        <v>1.5</v>
      </c>
      <c r="E660" s="8">
        <f>Gia_Tbi!E7</f>
        <v>8</v>
      </c>
      <c r="F660" s="104">
        <f>Gia_Tbi!F7</f>
        <v>44000000</v>
      </c>
      <c r="G660" s="105">
        <f>Gia_Tbi!G7</f>
        <v>11000</v>
      </c>
      <c r="H660" s="203">
        <v>3.5</v>
      </c>
      <c r="I660" s="106">
        <f>G660*H660</f>
        <v>38500</v>
      </c>
      <c r="K660" s="99">
        <v>655</v>
      </c>
    </row>
    <row r="661" spans="1:11">
      <c r="A661" s="57">
        <v>5</v>
      </c>
      <c r="B661" s="58" t="s">
        <v>8</v>
      </c>
      <c r="C661" s="59" t="str">
        <f>Gia_Tbi!C10</f>
        <v>Cái</v>
      </c>
      <c r="D661" s="59">
        <f>Gia_Tbi!D10</f>
        <v>1</v>
      </c>
      <c r="E661" s="140">
        <f>Gia_Tbi!E10</f>
        <v>10</v>
      </c>
      <c r="F661" s="108">
        <f>Gia_Tbi!F10</f>
        <v>80000000</v>
      </c>
      <c r="G661" s="109">
        <f>Gia_Tbi!G10</f>
        <v>16000</v>
      </c>
      <c r="H661" s="197">
        <f>(H657*D657+H658*D658+H659*D659+H660*D660)*8</f>
        <v>1206.5920000000001</v>
      </c>
      <c r="I661" s="144">
        <f>G661*H661*E661</f>
        <v>193054720</v>
      </c>
      <c r="K661" s="99">
        <v>656</v>
      </c>
    </row>
    <row r="662" spans="1:11" s="103" customFormat="1">
      <c r="A662" s="44" t="e">
        <f>#REF!</f>
        <v>#REF!</v>
      </c>
      <c r="B662" s="45" t="e">
        <f>#REF!</f>
        <v>#REF!</v>
      </c>
      <c r="C662" s="20"/>
      <c r="D662" s="20"/>
      <c r="E662" s="20"/>
      <c r="F662" s="100"/>
      <c r="G662" s="101"/>
      <c r="H662" s="133"/>
      <c r="I662" s="102">
        <f>I664</f>
        <v>35387</v>
      </c>
      <c r="K662" s="99">
        <v>657</v>
      </c>
    </row>
    <row r="663" spans="1:11">
      <c r="A663" s="15" t="e">
        <f>#REF!</f>
        <v>#REF!</v>
      </c>
      <c r="B663" s="7" t="e">
        <f>#REF!</f>
        <v>#REF!</v>
      </c>
      <c r="C663" s="8"/>
      <c r="D663" s="8"/>
      <c r="E663" s="8"/>
      <c r="F663" s="104"/>
      <c r="G663" s="105"/>
      <c r="H663" s="196"/>
      <c r="I663" s="106">
        <f>I664</f>
        <v>35387</v>
      </c>
      <c r="K663" s="99">
        <v>658</v>
      </c>
    </row>
    <row r="664" spans="1:11">
      <c r="A664" s="15" t="e">
        <f>#REF!</f>
        <v>#REF!</v>
      </c>
      <c r="B664" s="7" t="e">
        <f>#REF!</f>
        <v>#REF!</v>
      </c>
      <c r="C664" s="8"/>
      <c r="D664" s="8"/>
      <c r="E664" s="8"/>
      <c r="F664" s="104"/>
      <c r="G664" s="105"/>
      <c r="H664" s="196"/>
      <c r="I664" s="102">
        <f>SUM(I665:I668)</f>
        <v>35387</v>
      </c>
      <c r="K664" s="99">
        <v>659</v>
      </c>
    </row>
    <row r="665" spans="1:11">
      <c r="A665" s="15">
        <v>1</v>
      </c>
      <c r="B665" s="7" t="s">
        <v>73</v>
      </c>
      <c r="C665" s="8" t="str">
        <f>Gia_Tbi!C4</f>
        <v>cái</v>
      </c>
      <c r="D665" s="8">
        <f>Gia_Tbi!D4</f>
        <v>0.4</v>
      </c>
      <c r="E665" s="8">
        <f>Gia_Tbi!E4</f>
        <v>5</v>
      </c>
      <c r="F665" s="104">
        <f>Gia_Tbi!F4</f>
        <v>10000000</v>
      </c>
      <c r="G665" s="105">
        <f>Gia_Tbi!G4</f>
        <v>4000</v>
      </c>
      <c r="H665" s="203">
        <v>4.4999999999999998E-2</v>
      </c>
      <c r="I665" s="106">
        <f>G665*H665</f>
        <v>180</v>
      </c>
      <c r="K665" s="99">
        <v>660</v>
      </c>
    </row>
    <row r="666" spans="1:11">
      <c r="A666" s="15">
        <v>2</v>
      </c>
      <c r="B666" s="7" t="s">
        <v>74</v>
      </c>
      <c r="C666" s="8" t="str">
        <f>Gia_Tbi!C5</f>
        <v>cái</v>
      </c>
      <c r="D666" s="8">
        <f>Gia_Tbi!D5</f>
        <v>0.6</v>
      </c>
      <c r="E666" s="8">
        <f>Gia_Tbi!E5</f>
        <v>5</v>
      </c>
      <c r="F666" s="104">
        <f>Gia_Tbi!F5</f>
        <v>2500000</v>
      </c>
      <c r="G666" s="105">
        <f>Gia_Tbi!G5</f>
        <v>1000</v>
      </c>
      <c r="H666" s="203">
        <v>1E-3</v>
      </c>
      <c r="I666" s="106">
        <f>G666*H666</f>
        <v>1</v>
      </c>
      <c r="K666" s="99">
        <v>661</v>
      </c>
    </row>
    <row r="667" spans="1:11">
      <c r="A667" s="15">
        <v>3</v>
      </c>
      <c r="B667" s="7" t="s">
        <v>24</v>
      </c>
      <c r="C667" s="8" t="str">
        <f>Gia_Tbi!C6</f>
        <v>cái</v>
      </c>
      <c r="D667" s="8">
        <f>Gia_Tbi!D6</f>
        <v>2.2000000000000002</v>
      </c>
      <c r="E667" s="8">
        <f>Gia_Tbi!E6</f>
        <v>8</v>
      </c>
      <c r="F667" s="104">
        <f>Gia_Tbi!F6</f>
        <v>12000000</v>
      </c>
      <c r="G667" s="105">
        <f>Gia_Tbi!G6</f>
        <v>3000</v>
      </c>
      <c r="H667" s="203">
        <v>2E-3</v>
      </c>
      <c r="I667" s="106">
        <f>G667*H667</f>
        <v>6</v>
      </c>
      <c r="K667" s="99">
        <v>662</v>
      </c>
    </row>
    <row r="668" spans="1:11">
      <c r="A668" s="15">
        <v>4</v>
      </c>
      <c r="B668" s="7" t="s">
        <v>23</v>
      </c>
      <c r="C668" s="8" t="str">
        <f>Gia_Tbi!C7</f>
        <v>cái</v>
      </c>
      <c r="D668" s="8">
        <f>Gia_Tbi!D7</f>
        <v>1.5</v>
      </c>
      <c r="E668" s="8">
        <f>Gia_Tbi!E7</f>
        <v>8</v>
      </c>
      <c r="F668" s="104">
        <f>Gia_Tbi!F7</f>
        <v>44000000</v>
      </c>
      <c r="G668" s="105">
        <f>Gia_Tbi!G7</f>
        <v>11000</v>
      </c>
      <c r="H668" s="203">
        <v>3.2</v>
      </c>
      <c r="I668" s="106">
        <f>G668*H668</f>
        <v>35200</v>
      </c>
      <c r="K668" s="99">
        <v>663</v>
      </c>
    </row>
    <row r="669" spans="1:11">
      <c r="A669" s="57">
        <v>5</v>
      </c>
      <c r="B669" s="58" t="s">
        <v>8</v>
      </c>
      <c r="C669" s="59" t="str">
        <f>Gia_Tbi!C10</f>
        <v>Cái</v>
      </c>
      <c r="D669" s="59">
        <f>Gia_Tbi!D10</f>
        <v>1</v>
      </c>
      <c r="E669" s="140">
        <f>Gia_Tbi!E10</f>
        <v>10</v>
      </c>
      <c r="F669" s="108">
        <f>Gia_Tbi!F10</f>
        <v>80000000</v>
      </c>
      <c r="G669" s="109">
        <f>Gia_Tbi!G10</f>
        <v>16000</v>
      </c>
      <c r="H669" s="197">
        <f>(H665*D665+H666*D666+H667*D667+H668*D668)*8</f>
        <v>38.584000000000003</v>
      </c>
      <c r="I669" s="144">
        <f>G669*H669*E669</f>
        <v>6173440</v>
      </c>
      <c r="K669" s="99">
        <v>664</v>
      </c>
    </row>
    <row r="670" spans="1:11" s="103" customFormat="1">
      <c r="A670" s="44" t="e">
        <f>#REF!</f>
        <v>#REF!</v>
      </c>
      <c r="B670" s="45" t="e">
        <f>#REF!</f>
        <v>#REF!</v>
      </c>
      <c r="C670" s="20"/>
      <c r="D670" s="20"/>
      <c r="E670" s="20"/>
      <c r="F670" s="100"/>
      <c r="G670" s="101"/>
      <c r="H670" s="133"/>
      <c r="I670" s="102">
        <f>I671+I677</f>
        <v>116316</v>
      </c>
      <c r="K670" s="99">
        <v>665</v>
      </c>
    </row>
    <row r="671" spans="1:11" s="103" customFormat="1" ht="31.5">
      <c r="A671" s="44" t="s">
        <v>62</v>
      </c>
      <c r="B671" s="45" t="s">
        <v>66</v>
      </c>
      <c r="C671" s="20"/>
      <c r="D671" s="20"/>
      <c r="E671" s="20"/>
      <c r="F671" s="100"/>
      <c r="G671" s="101"/>
      <c r="H671" s="133"/>
      <c r="I671" s="102">
        <f>SUM(I672:I675)</f>
        <v>116210</v>
      </c>
      <c r="K671" s="99">
        <v>666</v>
      </c>
    </row>
    <row r="672" spans="1:11">
      <c r="A672" s="15">
        <v>1</v>
      </c>
      <c r="B672" s="7" t="s">
        <v>73</v>
      </c>
      <c r="C672" s="8" t="str">
        <f>Gia_Tbi!C4</f>
        <v>cái</v>
      </c>
      <c r="D672" s="8">
        <f>Gia_Tbi!D4</f>
        <v>0.4</v>
      </c>
      <c r="E672" s="8">
        <f>Gia_Tbi!E4</f>
        <v>5</v>
      </c>
      <c r="F672" s="104">
        <f>Gia_Tbi!F4</f>
        <v>10000000</v>
      </c>
      <c r="G672" s="105">
        <f>Gia_Tbi!G4</f>
        <v>4000</v>
      </c>
      <c r="H672" s="203">
        <v>20</v>
      </c>
      <c r="I672" s="106">
        <f>G672*H672</f>
        <v>80000</v>
      </c>
      <c r="K672" s="99">
        <v>667</v>
      </c>
    </row>
    <row r="673" spans="1:11">
      <c r="A673" s="15">
        <v>2</v>
      </c>
      <c r="B673" s="7" t="s">
        <v>74</v>
      </c>
      <c r="C673" s="8" t="str">
        <f>Gia_Tbi!C5</f>
        <v>cái</v>
      </c>
      <c r="D673" s="8">
        <f>Gia_Tbi!D5</f>
        <v>0.6</v>
      </c>
      <c r="E673" s="8">
        <f>Gia_Tbi!E5</f>
        <v>5</v>
      </c>
      <c r="F673" s="104">
        <f>Gia_Tbi!F5</f>
        <v>2500000</v>
      </c>
      <c r="G673" s="105">
        <f>Gia_Tbi!G5</f>
        <v>1000</v>
      </c>
      <c r="H673" s="203">
        <v>3</v>
      </c>
      <c r="I673" s="106">
        <f>G673*H673</f>
        <v>3000</v>
      </c>
      <c r="K673" s="99">
        <v>668</v>
      </c>
    </row>
    <row r="674" spans="1:11">
      <c r="A674" s="15">
        <v>3</v>
      </c>
      <c r="B674" s="7" t="s">
        <v>24</v>
      </c>
      <c r="C674" s="8" t="str">
        <f>Gia_Tbi!C6</f>
        <v>cái</v>
      </c>
      <c r="D674" s="8">
        <f>Gia_Tbi!D6</f>
        <v>2.2000000000000002</v>
      </c>
      <c r="E674" s="8">
        <f>Gia_Tbi!E6</f>
        <v>8</v>
      </c>
      <c r="F674" s="104">
        <f>Gia_Tbi!F6</f>
        <v>12000000</v>
      </c>
      <c r="G674" s="105">
        <f>Gia_Tbi!G6</f>
        <v>3000</v>
      </c>
      <c r="H674" s="203">
        <v>6.67</v>
      </c>
      <c r="I674" s="106">
        <f>G674*H674</f>
        <v>20010</v>
      </c>
      <c r="K674" s="99">
        <v>669</v>
      </c>
    </row>
    <row r="675" spans="1:11">
      <c r="A675" s="15">
        <v>4</v>
      </c>
      <c r="B675" s="7" t="s">
        <v>23</v>
      </c>
      <c r="C675" s="8" t="str">
        <f>Gia_Tbi!C7</f>
        <v>cái</v>
      </c>
      <c r="D675" s="8">
        <f>Gia_Tbi!D7</f>
        <v>1.5</v>
      </c>
      <c r="E675" s="8">
        <f>Gia_Tbi!E7</f>
        <v>8</v>
      </c>
      <c r="F675" s="104">
        <f>Gia_Tbi!F7</f>
        <v>44000000</v>
      </c>
      <c r="G675" s="105">
        <f>Gia_Tbi!G7</f>
        <v>11000</v>
      </c>
      <c r="H675" s="203">
        <v>1.2</v>
      </c>
      <c r="I675" s="106">
        <f>G675*H675</f>
        <v>13200</v>
      </c>
      <c r="K675" s="99">
        <v>670</v>
      </c>
    </row>
    <row r="676" spans="1:11">
      <c r="A676" s="57">
        <v>5</v>
      </c>
      <c r="B676" s="58" t="s">
        <v>8</v>
      </c>
      <c r="C676" s="59" t="str">
        <f>Gia_Tbi!C10</f>
        <v>Cái</v>
      </c>
      <c r="D676" s="59">
        <f>Gia_Tbi!D10</f>
        <v>1</v>
      </c>
      <c r="E676" s="140">
        <f>Gia_Tbi!E10</f>
        <v>10</v>
      </c>
      <c r="F676" s="108">
        <f>Gia_Tbi!F10</f>
        <v>80000000</v>
      </c>
      <c r="G676" s="109">
        <f>Gia_Tbi!G10</f>
        <v>16000</v>
      </c>
      <c r="H676" s="197">
        <f>(H672*D672+H673*D673+H674*D674+H675*D675)*8</f>
        <v>210.19200000000004</v>
      </c>
      <c r="I676" s="144">
        <f>G676*H676*E676</f>
        <v>33630720.000000007</v>
      </c>
      <c r="K676" s="99">
        <v>671</v>
      </c>
    </row>
    <row r="677" spans="1:11" s="103" customFormat="1" ht="47.25">
      <c r="A677" s="44" t="s">
        <v>91</v>
      </c>
      <c r="B677" s="45" t="s">
        <v>93</v>
      </c>
      <c r="C677" s="20"/>
      <c r="D677" s="20"/>
      <c r="E677" s="20"/>
      <c r="F677" s="100"/>
      <c r="G677" s="101"/>
      <c r="H677" s="133"/>
      <c r="I677" s="102">
        <f>SUM(I678:I681)</f>
        <v>106</v>
      </c>
      <c r="K677" s="99">
        <v>672</v>
      </c>
    </row>
    <row r="678" spans="1:11">
      <c r="A678" s="15">
        <v>1</v>
      </c>
      <c r="B678" s="7" t="s">
        <v>73</v>
      </c>
      <c r="C678" s="8" t="str">
        <f>Gia_Tbi!C4</f>
        <v>cái</v>
      </c>
      <c r="D678" s="8">
        <f>Gia_Tbi!D4</f>
        <v>0.4</v>
      </c>
      <c r="E678" s="8">
        <f>Gia_Tbi!E4</f>
        <v>5</v>
      </c>
      <c r="F678" s="104">
        <f>Gia_Tbi!F4</f>
        <v>10000000</v>
      </c>
      <c r="G678" s="105">
        <f>Gia_Tbi!G4</f>
        <v>4000</v>
      </c>
      <c r="H678" s="203">
        <v>1.9E-2</v>
      </c>
      <c r="I678" s="106">
        <f>G678*H678</f>
        <v>76</v>
      </c>
      <c r="K678" s="99">
        <v>673</v>
      </c>
    </row>
    <row r="679" spans="1:11">
      <c r="A679" s="15">
        <v>2</v>
      </c>
      <c r="B679" s="7" t="s">
        <v>74</v>
      </c>
      <c r="C679" s="8" t="str">
        <f>Gia_Tbi!C5</f>
        <v>cái</v>
      </c>
      <c r="D679" s="8">
        <f>Gia_Tbi!D5</f>
        <v>0.6</v>
      </c>
      <c r="E679" s="8">
        <f>Gia_Tbi!E5</f>
        <v>5</v>
      </c>
      <c r="F679" s="104">
        <f>Gia_Tbi!F5</f>
        <v>2500000</v>
      </c>
      <c r="G679" s="105">
        <f>Gia_Tbi!G5</f>
        <v>1000</v>
      </c>
      <c r="H679" s="203">
        <v>1E-3</v>
      </c>
      <c r="I679" s="106">
        <f>G679*H679</f>
        <v>1</v>
      </c>
      <c r="K679" s="99">
        <v>674</v>
      </c>
    </row>
    <row r="680" spans="1:11">
      <c r="A680" s="15">
        <v>3</v>
      </c>
      <c r="B680" s="7" t="s">
        <v>24</v>
      </c>
      <c r="C680" s="8" t="str">
        <f>Gia_Tbi!C6</f>
        <v>cái</v>
      </c>
      <c r="D680" s="8">
        <f>Gia_Tbi!D6</f>
        <v>2.2000000000000002</v>
      </c>
      <c r="E680" s="8">
        <f>Gia_Tbi!E6</f>
        <v>8</v>
      </c>
      <c r="F680" s="104">
        <f>Gia_Tbi!F6</f>
        <v>12000000</v>
      </c>
      <c r="G680" s="105">
        <f>Gia_Tbi!G6</f>
        <v>3000</v>
      </c>
      <c r="H680" s="203">
        <v>6.0000000000000001E-3</v>
      </c>
      <c r="I680" s="106">
        <f>G680*H680</f>
        <v>18</v>
      </c>
      <c r="K680" s="99">
        <v>675</v>
      </c>
    </row>
    <row r="681" spans="1:11">
      <c r="A681" s="15">
        <v>4</v>
      </c>
      <c r="B681" s="7" t="s">
        <v>23</v>
      </c>
      <c r="C681" s="8" t="str">
        <f>Gia_Tbi!C7</f>
        <v>cái</v>
      </c>
      <c r="D681" s="8">
        <f>Gia_Tbi!D7</f>
        <v>1.5</v>
      </c>
      <c r="E681" s="8">
        <f>Gia_Tbi!E7</f>
        <v>8</v>
      </c>
      <c r="F681" s="104">
        <f>Gia_Tbi!F7</f>
        <v>44000000</v>
      </c>
      <c r="G681" s="105">
        <f>Gia_Tbi!G7</f>
        <v>11000</v>
      </c>
      <c r="H681" s="203">
        <v>1E-3</v>
      </c>
      <c r="I681" s="106">
        <f>G681*H681</f>
        <v>11</v>
      </c>
      <c r="K681" s="99">
        <v>676</v>
      </c>
    </row>
    <row r="682" spans="1:11">
      <c r="A682" s="57">
        <v>5</v>
      </c>
      <c r="B682" s="58" t="s">
        <v>8</v>
      </c>
      <c r="C682" s="59" t="str">
        <f>Gia_Tbi!C10</f>
        <v>Cái</v>
      </c>
      <c r="D682" s="59">
        <f>Gia_Tbi!D10</f>
        <v>1</v>
      </c>
      <c r="E682" s="140">
        <f>Gia_Tbi!E10</f>
        <v>10</v>
      </c>
      <c r="F682" s="108">
        <f>Gia_Tbi!F10</f>
        <v>80000000</v>
      </c>
      <c r="G682" s="109">
        <f>Gia_Tbi!G10</f>
        <v>16000</v>
      </c>
      <c r="H682" s="197">
        <f>(H678*D678+H679*D679+H680*D680+H681*D681)*8</f>
        <v>0.18320000000000003</v>
      </c>
      <c r="I682" s="144">
        <f>G682*H682*E682</f>
        <v>29312.000000000004</v>
      </c>
      <c r="K682" s="99">
        <v>677</v>
      </c>
    </row>
    <row r="683" spans="1:11" s="6" customFormat="1">
      <c r="A683" s="14" t="e">
        <f>#REF!</f>
        <v>#REF!</v>
      </c>
      <c r="B683" s="10" t="e">
        <f>#REF!</f>
        <v>#REF!</v>
      </c>
      <c r="C683" s="9"/>
      <c r="D683" s="9"/>
      <c r="E683" s="9"/>
      <c r="F683" s="115"/>
      <c r="G683" s="116"/>
      <c r="H683" s="199"/>
      <c r="I683" s="117"/>
      <c r="K683" s="99">
        <v>678</v>
      </c>
    </row>
    <row r="684" spans="1:11" s="103" customFormat="1">
      <c r="A684" s="44" t="e">
        <f>#REF!</f>
        <v>#REF!</v>
      </c>
      <c r="B684" s="45" t="e">
        <f>#REF!</f>
        <v>#REF!</v>
      </c>
      <c r="C684" s="20"/>
      <c r="D684" s="20"/>
      <c r="E684" s="20"/>
      <c r="F684" s="100"/>
      <c r="G684" s="101"/>
      <c r="H684" s="133"/>
      <c r="I684" s="102">
        <f>SUM(I685:I688)</f>
        <v>207099</v>
      </c>
      <c r="K684" s="99">
        <v>679</v>
      </c>
    </row>
    <row r="685" spans="1:11">
      <c r="A685" s="15">
        <v>1</v>
      </c>
      <c r="B685" s="7" t="s">
        <v>73</v>
      </c>
      <c r="C685" s="8" t="str">
        <f>Gia_Tbi!C4</f>
        <v>cái</v>
      </c>
      <c r="D685" s="8">
        <f>Gia_Tbi!D4</f>
        <v>0.4</v>
      </c>
      <c r="E685" s="8">
        <f>Gia_Tbi!E4</f>
        <v>5</v>
      </c>
      <c r="F685" s="104">
        <f>Gia_Tbi!F4</f>
        <v>10000000</v>
      </c>
      <c r="G685" s="105">
        <f>Gia_Tbi!G4</f>
        <v>4000</v>
      </c>
      <c r="H685" s="203">
        <v>40</v>
      </c>
      <c r="I685" s="106">
        <f>G685*H685</f>
        <v>160000</v>
      </c>
      <c r="K685" s="99">
        <v>680</v>
      </c>
    </row>
    <row r="686" spans="1:11">
      <c r="A686" s="15">
        <v>2</v>
      </c>
      <c r="B686" s="7" t="s">
        <v>74</v>
      </c>
      <c r="C686" s="8" t="str">
        <f>Gia_Tbi!C5</f>
        <v>cái</v>
      </c>
      <c r="D686" s="8">
        <f>Gia_Tbi!D5</f>
        <v>0.6</v>
      </c>
      <c r="E686" s="8">
        <f>Gia_Tbi!E5</f>
        <v>5</v>
      </c>
      <c r="F686" s="104">
        <f>Gia_Tbi!F5</f>
        <v>2500000</v>
      </c>
      <c r="G686" s="105">
        <f>Gia_Tbi!G5</f>
        <v>1000</v>
      </c>
      <c r="H686" s="203">
        <v>0.5</v>
      </c>
      <c r="I686" s="106">
        <f>G686*H686</f>
        <v>500</v>
      </c>
      <c r="K686" s="99">
        <v>681</v>
      </c>
    </row>
    <row r="687" spans="1:11">
      <c r="A687" s="15">
        <v>3</v>
      </c>
      <c r="B687" s="7" t="s">
        <v>24</v>
      </c>
      <c r="C687" s="8" t="str">
        <f>Gia_Tbi!C6</f>
        <v>cái</v>
      </c>
      <c r="D687" s="8">
        <f>Gia_Tbi!D6</f>
        <v>2.2000000000000002</v>
      </c>
      <c r="E687" s="8">
        <f>Gia_Tbi!E6</f>
        <v>8</v>
      </c>
      <c r="F687" s="104">
        <f>Gia_Tbi!F6</f>
        <v>12000000</v>
      </c>
      <c r="G687" s="105">
        <f>Gia_Tbi!G6</f>
        <v>3000</v>
      </c>
      <c r="H687" s="203">
        <v>13.333</v>
      </c>
      <c r="I687" s="106">
        <f>G687*H687</f>
        <v>39999</v>
      </c>
      <c r="K687" s="99">
        <v>682</v>
      </c>
    </row>
    <row r="688" spans="1:11">
      <c r="A688" s="15">
        <v>4</v>
      </c>
      <c r="B688" s="7" t="s">
        <v>23</v>
      </c>
      <c r="C688" s="8" t="str">
        <f>Gia_Tbi!C7</f>
        <v>cái</v>
      </c>
      <c r="D688" s="8">
        <f>Gia_Tbi!D7</f>
        <v>1.5</v>
      </c>
      <c r="E688" s="8">
        <f>Gia_Tbi!E7</f>
        <v>8</v>
      </c>
      <c r="F688" s="104">
        <f>Gia_Tbi!F7</f>
        <v>44000000</v>
      </c>
      <c r="G688" s="105">
        <f>Gia_Tbi!G7</f>
        <v>11000</v>
      </c>
      <c r="H688" s="203">
        <v>0.6</v>
      </c>
      <c r="I688" s="106">
        <f>G688*H688</f>
        <v>6600</v>
      </c>
      <c r="K688" s="99">
        <v>683</v>
      </c>
    </row>
    <row r="689" spans="1:11">
      <c r="A689" s="57">
        <v>5</v>
      </c>
      <c r="B689" s="58" t="s">
        <v>8</v>
      </c>
      <c r="C689" s="59" t="str">
        <f>Gia_Tbi!C10</f>
        <v>Cái</v>
      </c>
      <c r="D689" s="59">
        <f>Gia_Tbi!D10</f>
        <v>1</v>
      </c>
      <c r="E689" s="140">
        <f>Gia_Tbi!E10</f>
        <v>10</v>
      </c>
      <c r="F689" s="108">
        <f>Gia_Tbi!F10</f>
        <v>80000000</v>
      </c>
      <c r="G689" s="109">
        <f>Gia_Tbi!G10</f>
        <v>16000</v>
      </c>
      <c r="H689" s="197">
        <f>(H685*D685+H686*D686+H687*D687+H688*D688)*8</f>
        <v>372.26080000000002</v>
      </c>
      <c r="I689" s="144">
        <f>G689*H689*E689</f>
        <v>59561728.000000007</v>
      </c>
      <c r="K689" s="99">
        <v>684</v>
      </c>
    </row>
    <row r="690" spans="1:11" s="103" customFormat="1">
      <c r="A690" s="44" t="e">
        <f>#REF!</f>
        <v>#REF!</v>
      </c>
      <c r="B690" s="45" t="e">
        <f>#REF!</f>
        <v>#REF!</v>
      </c>
      <c r="C690" s="20"/>
      <c r="D690" s="20"/>
      <c r="E690" s="20"/>
      <c r="F690" s="100"/>
      <c r="G690" s="101"/>
      <c r="H690" s="133"/>
      <c r="I690" s="102">
        <f>SUM(I691:I695)</f>
        <v>377200273</v>
      </c>
      <c r="K690" s="99">
        <v>685</v>
      </c>
    </row>
    <row r="691" spans="1:11">
      <c r="A691" s="15">
        <v>1</v>
      </c>
      <c r="B691" s="7" t="s">
        <v>73</v>
      </c>
      <c r="C691" s="8" t="str">
        <f>Gia_Tbi!C4</f>
        <v>cái</v>
      </c>
      <c r="D691" s="8">
        <f>Gia_Tbi!D4</f>
        <v>0.4</v>
      </c>
      <c r="E691" s="8">
        <f>Gia_Tbi!E4</f>
        <v>5</v>
      </c>
      <c r="F691" s="104">
        <f>Gia_Tbi!F4</f>
        <v>10000000</v>
      </c>
      <c r="G691" s="105">
        <f>Gia_Tbi!G4</f>
        <v>4000</v>
      </c>
      <c r="H691" s="203">
        <v>245</v>
      </c>
      <c r="I691" s="106">
        <f>G691*H691</f>
        <v>980000</v>
      </c>
      <c r="K691" s="99">
        <v>686</v>
      </c>
    </row>
    <row r="692" spans="1:11">
      <c r="A692" s="15">
        <v>2</v>
      </c>
      <c r="B692" s="7" t="s">
        <v>74</v>
      </c>
      <c r="C692" s="8" t="str">
        <f>Gia_Tbi!C5</f>
        <v>cái</v>
      </c>
      <c r="D692" s="8">
        <f>Gia_Tbi!D5</f>
        <v>0.6</v>
      </c>
      <c r="E692" s="8">
        <f>Gia_Tbi!E5</f>
        <v>5</v>
      </c>
      <c r="F692" s="104">
        <f>Gia_Tbi!F5</f>
        <v>2500000</v>
      </c>
      <c r="G692" s="105">
        <f>Gia_Tbi!G5</f>
        <v>1000</v>
      </c>
      <c r="H692" s="203">
        <v>6.9</v>
      </c>
      <c r="I692" s="106">
        <f>G692*H692</f>
        <v>6900</v>
      </c>
      <c r="K692" s="99">
        <v>687</v>
      </c>
    </row>
    <row r="693" spans="1:11">
      <c r="A693" s="15">
        <v>3</v>
      </c>
      <c r="B693" s="7" t="s">
        <v>24</v>
      </c>
      <c r="C693" s="8" t="str">
        <f>Gia_Tbi!C6</f>
        <v>cái</v>
      </c>
      <c r="D693" s="8">
        <f>Gia_Tbi!D6</f>
        <v>2.2000000000000002</v>
      </c>
      <c r="E693" s="8">
        <f>Gia_Tbi!E6</f>
        <v>8</v>
      </c>
      <c r="F693" s="104">
        <f>Gia_Tbi!F6</f>
        <v>12000000</v>
      </c>
      <c r="G693" s="105">
        <f>Gia_Tbi!G6</f>
        <v>3000</v>
      </c>
      <c r="H693" s="203">
        <v>81.667000000000002</v>
      </c>
      <c r="I693" s="106">
        <f>G693*H693</f>
        <v>245001</v>
      </c>
      <c r="K693" s="99">
        <v>688</v>
      </c>
    </row>
    <row r="694" spans="1:11">
      <c r="A694" s="15">
        <v>4</v>
      </c>
      <c r="B694" s="7" t="s">
        <v>23</v>
      </c>
      <c r="C694" s="8" t="str">
        <f>Gia_Tbi!C7</f>
        <v>cái</v>
      </c>
      <c r="D694" s="8">
        <f>Gia_Tbi!D7</f>
        <v>1.5</v>
      </c>
      <c r="E694" s="8">
        <f>Gia_Tbi!E7</f>
        <v>8</v>
      </c>
      <c r="F694" s="104">
        <f>Gia_Tbi!F7</f>
        <v>44000000</v>
      </c>
      <c r="G694" s="105">
        <f>Gia_Tbi!G7</f>
        <v>11000</v>
      </c>
      <c r="H694" s="203">
        <v>7.9</v>
      </c>
      <c r="I694" s="106">
        <f>G694*H694</f>
        <v>86900</v>
      </c>
      <c r="K694" s="99">
        <v>689</v>
      </c>
    </row>
    <row r="695" spans="1:11">
      <c r="A695" s="57">
        <v>5</v>
      </c>
      <c r="B695" s="58" t="s">
        <v>8</v>
      </c>
      <c r="C695" s="59" t="str">
        <f>Gia_Tbi!C10</f>
        <v>Cái</v>
      </c>
      <c r="D695" s="59">
        <f>Gia_Tbi!D10</f>
        <v>1</v>
      </c>
      <c r="E695" s="140">
        <f>Gia_Tbi!E10</f>
        <v>10</v>
      </c>
      <c r="F695" s="108">
        <f>Gia_Tbi!F10</f>
        <v>80000000</v>
      </c>
      <c r="G695" s="109">
        <f>Gia_Tbi!G10</f>
        <v>16000</v>
      </c>
      <c r="H695" s="197">
        <f>(H691*D691+H692*D692+H693*D693+H694*D694)*8</f>
        <v>2349.2592000000004</v>
      </c>
      <c r="I695" s="110">
        <f>G695*H695*E695</f>
        <v>375881472</v>
      </c>
      <c r="K695" s="99">
        <v>690</v>
      </c>
    </row>
    <row r="696" spans="1:11" s="103" customFormat="1">
      <c r="A696" s="44" t="e">
        <f>#REF!</f>
        <v>#REF!</v>
      </c>
      <c r="B696" s="45" t="e">
        <f>#REF!</f>
        <v>#REF!</v>
      </c>
      <c r="C696" s="20"/>
      <c r="D696" s="20"/>
      <c r="E696" s="20"/>
      <c r="F696" s="100"/>
      <c r="G696" s="101"/>
      <c r="H696" s="133"/>
      <c r="I696" s="102"/>
      <c r="K696" s="99">
        <v>691</v>
      </c>
    </row>
    <row r="697" spans="1:11" s="6" customFormat="1">
      <c r="A697" s="14" t="e">
        <f>#REF!</f>
        <v>#REF!</v>
      </c>
      <c r="B697" s="10" t="e">
        <f>#REF!</f>
        <v>#REF!</v>
      </c>
      <c r="C697" s="9"/>
      <c r="D697" s="9"/>
      <c r="E697" s="9"/>
      <c r="F697" s="115"/>
      <c r="G697" s="116"/>
      <c r="H697" s="199"/>
      <c r="I697" s="117"/>
      <c r="K697" s="99">
        <v>692</v>
      </c>
    </row>
    <row r="698" spans="1:11" s="103" customFormat="1">
      <c r="A698" s="44" t="e">
        <f>#REF!</f>
        <v>#REF!</v>
      </c>
      <c r="B698" s="45" t="e">
        <f>#REF!</f>
        <v>#REF!</v>
      </c>
      <c r="C698" s="20"/>
      <c r="D698" s="20"/>
      <c r="E698" s="20"/>
      <c r="F698" s="100"/>
      <c r="G698" s="101"/>
      <c r="H698" s="133"/>
      <c r="I698" s="102"/>
      <c r="K698" s="99">
        <v>693</v>
      </c>
    </row>
    <row r="699" spans="1:11" s="103" customFormat="1">
      <c r="A699" s="44" t="e">
        <f>#REF!</f>
        <v>#REF!</v>
      </c>
      <c r="B699" s="45" t="e">
        <f>#REF!</f>
        <v>#REF!</v>
      </c>
      <c r="C699" s="20"/>
      <c r="D699" s="20"/>
      <c r="E699" s="20"/>
      <c r="F699" s="100"/>
      <c r="G699" s="101"/>
      <c r="H699" s="133"/>
      <c r="I699" s="102">
        <f>SUM(I700:I703)</f>
        <v>1520</v>
      </c>
      <c r="K699" s="99">
        <v>694</v>
      </c>
    </row>
    <row r="700" spans="1:11">
      <c r="A700" s="15">
        <v>1</v>
      </c>
      <c r="B700" s="7" t="s">
        <v>73</v>
      </c>
      <c r="C700" s="8" t="str">
        <f>Gia_Tbi!C4</f>
        <v>cái</v>
      </c>
      <c r="D700" s="8">
        <f>Gia_Tbi!D4</f>
        <v>0.4</v>
      </c>
      <c r="E700" s="8">
        <f>Gia_Tbi!E4</f>
        <v>5</v>
      </c>
      <c r="F700" s="104">
        <f>Gia_Tbi!F4</f>
        <v>10000000</v>
      </c>
      <c r="G700" s="105">
        <f>Gia_Tbi!G4</f>
        <v>4000</v>
      </c>
      <c r="H700" s="203">
        <v>0.29199999999999998</v>
      </c>
      <c r="I700" s="106">
        <f>G700*H700</f>
        <v>1168</v>
      </c>
      <c r="K700" s="99">
        <v>695</v>
      </c>
    </row>
    <row r="701" spans="1:11">
      <c r="A701" s="15">
        <v>2</v>
      </c>
      <c r="B701" s="7" t="s">
        <v>74</v>
      </c>
      <c r="C701" s="8" t="str">
        <f>Gia_Tbi!C5</f>
        <v>cái</v>
      </c>
      <c r="D701" s="8">
        <f>Gia_Tbi!D5</f>
        <v>0.6</v>
      </c>
      <c r="E701" s="8">
        <f>Gia_Tbi!E5</f>
        <v>5</v>
      </c>
      <c r="F701" s="104">
        <f>Gia_Tbi!F5</f>
        <v>2500000</v>
      </c>
      <c r="G701" s="105">
        <f>Gia_Tbi!G5</f>
        <v>1000</v>
      </c>
      <c r="H701" s="203">
        <v>6.0000000000000001E-3</v>
      </c>
      <c r="I701" s="106">
        <f>G701*H701</f>
        <v>6</v>
      </c>
      <c r="K701" s="99">
        <v>696</v>
      </c>
    </row>
    <row r="702" spans="1:11">
      <c r="A702" s="15">
        <v>3</v>
      </c>
      <c r="B702" s="7" t="s">
        <v>24</v>
      </c>
      <c r="C702" s="8" t="str">
        <f>Gia_Tbi!C6</f>
        <v>cái</v>
      </c>
      <c r="D702" s="8">
        <f>Gia_Tbi!D6</f>
        <v>2.2000000000000002</v>
      </c>
      <c r="E702" s="8">
        <f>Gia_Tbi!E6</f>
        <v>8</v>
      </c>
      <c r="F702" s="104">
        <f>Gia_Tbi!F6</f>
        <v>12000000</v>
      </c>
      <c r="G702" s="105">
        <f>Gia_Tbi!G6</f>
        <v>3000</v>
      </c>
      <c r="H702" s="203">
        <v>9.7000000000000003E-2</v>
      </c>
      <c r="I702" s="106">
        <f>G702*H702</f>
        <v>291</v>
      </c>
      <c r="K702" s="99">
        <v>697</v>
      </c>
    </row>
    <row r="703" spans="1:11">
      <c r="A703" s="15">
        <v>4</v>
      </c>
      <c r="B703" s="7" t="s">
        <v>23</v>
      </c>
      <c r="C703" s="8" t="str">
        <f>Gia_Tbi!C7</f>
        <v>cái</v>
      </c>
      <c r="D703" s="8">
        <f>Gia_Tbi!D7</f>
        <v>1.5</v>
      </c>
      <c r="E703" s="8">
        <f>Gia_Tbi!E7</f>
        <v>8</v>
      </c>
      <c r="F703" s="104">
        <f>Gia_Tbi!F7</f>
        <v>44000000</v>
      </c>
      <c r="G703" s="105">
        <f>Gia_Tbi!G7</f>
        <v>11000</v>
      </c>
      <c r="H703" s="203">
        <v>5.0000000000000001E-3</v>
      </c>
      <c r="I703" s="106">
        <f>G703*H703</f>
        <v>55</v>
      </c>
      <c r="K703" s="99">
        <v>698</v>
      </c>
    </row>
    <row r="704" spans="1:11">
      <c r="A704" s="57">
        <v>5</v>
      </c>
      <c r="B704" s="58" t="s">
        <v>8</v>
      </c>
      <c r="C704" s="59" t="str">
        <f>Gia_Tbi!C10</f>
        <v>Cái</v>
      </c>
      <c r="D704" s="59">
        <f>Gia_Tbi!D10</f>
        <v>1</v>
      </c>
      <c r="E704" s="140">
        <f>Gia_Tbi!E10</f>
        <v>10</v>
      </c>
      <c r="F704" s="108">
        <f>Gia_Tbi!F10</f>
        <v>80000000</v>
      </c>
      <c r="G704" s="109">
        <f>Gia_Tbi!G10</f>
        <v>16000</v>
      </c>
      <c r="H704" s="197">
        <f>(H700*D700+H701*D701+H702*D702+H703*D703)*8</f>
        <v>2.7304000000000004</v>
      </c>
      <c r="I704" s="144">
        <f>G704*H704*E704</f>
        <v>436864.00000000012</v>
      </c>
      <c r="K704" s="99">
        <v>699</v>
      </c>
    </row>
    <row r="705" spans="1:11" s="103" customFormat="1">
      <c r="A705" s="44" t="e">
        <f>#REF!</f>
        <v>#REF!</v>
      </c>
      <c r="B705" s="45" t="e">
        <f>#REF!</f>
        <v>#REF!</v>
      </c>
      <c r="C705" s="20"/>
      <c r="D705" s="20"/>
      <c r="E705" s="20"/>
      <c r="F705" s="100"/>
      <c r="G705" s="101"/>
      <c r="H705" s="133"/>
      <c r="I705" s="102">
        <f>SUM(I706:I709)</f>
        <v>1238</v>
      </c>
      <c r="K705" s="99">
        <v>700</v>
      </c>
    </row>
    <row r="706" spans="1:11">
      <c r="A706" s="15">
        <v>1</v>
      </c>
      <c r="B706" s="7" t="s">
        <v>73</v>
      </c>
      <c r="C706" s="8" t="str">
        <f>Gia_Tbi!C4</f>
        <v>cái</v>
      </c>
      <c r="D706" s="8">
        <f>Gia_Tbi!D4</f>
        <v>0.4</v>
      </c>
      <c r="E706" s="8">
        <f>Gia_Tbi!E4</f>
        <v>5</v>
      </c>
      <c r="F706" s="104">
        <f>Gia_Tbi!F4</f>
        <v>10000000</v>
      </c>
      <c r="G706" s="105">
        <f>Gia_Tbi!G4</f>
        <v>4000</v>
      </c>
      <c r="H706" s="203">
        <v>0.23799999999999999</v>
      </c>
      <c r="I706" s="106">
        <f>G706*H706</f>
        <v>952</v>
      </c>
      <c r="K706" s="99">
        <v>701</v>
      </c>
    </row>
    <row r="707" spans="1:11">
      <c r="A707" s="15">
        <v>2</v>
      </c>
      <c r="B707" s="7" t="s">
        <v>74</v>
      </c>
      <c r="C707" s="8" t="str">
        <f>Gia_Tbi!C5</f>
        <v>cái</v>
      </c>
      <c r="D707" s="8">
        <f>Gia_Tbi!D5</f>
        <v>0.6</v>
      </c>
      <c r="E707" s="8">
        <f>Gia_Tbi!E5</f>
        <v>5</v>
      </c>
      <c r="F707" s="104">
        <f>Gia_Tbi!F5</f>
        <v>2500000</v>
      </c>
      <c r="G707" s="105">
        <f>Gia_Tbi!G5</f>
        <v>1000</v>
      </c>
      <c r="H707" s="203">
        <v>5.0000000000000001E-3</v>
      </c>
      <c r="I707" s="106">
        <f>G707*H707</f>
        <v>5</v>
      </c>
      <c r="K707" s="99">
        <v>702</v>
      </c>
    </row>
    <row r="708" spans="1:11">
      <c r="A708" s="15">
        <v>3</v>
      </c>
      <c r="B708" s="7" t="s">
        <v>24</v>
      </c>
      <c r="C708" s="8" t="str">
        <f>Gia_Tbi!C6</f>
        <v>cái</v>
      </c>
      <c r="D708" s="8">
        <f>Gia_Tbi!D6</f>
        <v>2.2000000000000002</v>
      </c>
      <c r="E708" s="8">
        <f>Gia_Tbi!E6</f>
        <v>8</v>
      </c>
      <c r="F708" s="104">
        <f>Gia_Tbi!F6</f>
        <v>12000000</v>
      </c>
      <c r="G708" s="105">
        <f>Gia_Tbi!G6</f>
        <v>3000</v>
      </c>
      <c r="H708" s="203">
        <v>7.9000000000000001E-2</v>
      </c>
      <c r="I708" s="106">
        <f>G708*H708</f>
        <v>237</v>
      </c>
      <c r="K708" s="99">
        <v>703</v>
      </c>
    </row>
    <row r="709" spans="1:11">
      <c r="A709" s="15">
        <v>4</v>
      </c>
      <c r="B709" s="7" t="s">
        <v>23</v>
      </c>
      <c r="C709" s="8" t="str">
        <f>Gia_Tbi!C7</f>
        <v>cái</v>
      </c>
      <c r="D709" s="8">
        <f>Gia_Tbi!D7</f>
        <v>1.5</v>
      </c>
      <c r="E709" s="8">
        <f>Gia_Tbi!E7</f>
        <v>8</v>
      </c>
      <c r="F709" s="104">
        <f>Gia_Tbi!F7</f>
        <v>44000000</v>
      </c>
      <c r="G709" s="105">
        <f>Gia_Tbi!G7</f>
        <v>11000</v>
      </c>
      <c r="H709" s="203">
        <v>4.0000000000000001E-3</v>
      </c>
      <c r="I709" s="106">
        <f>G709*H709</f>
        <v>44</v>
      </c>
      <c r="K709" s="99">
        <v>704</v>
      </c>
    </row>
    <row r="710" spans="1:11">
      <c r="A710" s="57">
        <v>5</v>
      </c>
      <c r="B710" s="58" t="s">
        <v>8</v>
      </c>
      <c r="C710" s="59" t="str">
        <f>Gia_Tbi!C10</f>
        <v>Cái</v>
      </c>
      <c r="D710" s="59">
        <f>Gia_Tbi!D10</f>
        <v>1</v>
      </c>
      <c r="E710" s="140">
        <f>Gia_Tbi!E10</f>
        <v>10</v>
      </c>
      <c r="F710" s="108">
        <f>Gia_Tbi!F10</f>
        <v>80000000</v>
      </c>
      <c r="G710" s="109">
        <f>Gia_Tbi!G10</f>
        <v>16000</v>
      </c>
      <c r="H710" s="197">
        <f>(H706*D706+H707*D707+H708*D708+H709*D709)*8</f>
        <v>2.2240000000000002</v>
      </c>
      <c r="I710" s="144">
        <f>G710*H710*E710</f>
        <v>355840</v>
      </c>
      <c r="K710" s="99">
        <v>705</v>
      </c>
    </row>
    <row r="711" spans="1:11" s="103" customFormat="1">
      <c r="A711" s="44" t="e">
        <f>#REF!</f>
        <v>#REF!</v>
      </c>
      <c r="B711" s="45" t="e">
        <f>#REF!</f>
        <v>#REF!</v>
      </c>
      <c r="C711" s="20"/>
      <c r="D711" s="20"/>
      <c r="E711" s="20"/>
      <c r="F711" s="100"/>
      <c r="G711" s="101"/>
      <c r="H711" s="133"/>
      <c r="I711" s="102"/>
      <c r="K711" s="99">
        <v>706</v>
      </c>
    </row>
    <row r="712" spans="1:11" s="103" customFormat="1">
      <c r="A712" s="44" t="e">
        <f>#REF!</f>
        <v>#REF!</v>
      </c>
      <c r="B712" s="45" t="e">
        <f>#REF!</f>
        <v>#REF!</v>
      </c>
      <c r="C712" s="20"/>
      <c r="D712" s="20"/>
      <c r="E712" s="20"/>
      <c r="F712" s="100"/>
      <c r="G712" s="101"/>
      <c r="H712" s="133"/>
      <c r="I712" s="102">
        <f>SUM(I713:I716)</f>
        <v>1038</v>
      </c>
      <c r="K712" s="99">
        <v>707</v>
      </c>
    </row>
    <row r="713" spans="1:11">
      <c r="A713" s="15">
        <v>1</v>
      </c>
      <c r="B713" s="7" t="s">
        <v>73</v>
      </c>
      <c r="C713" s="8" t="str">
        <f>Gia_Tbi!C4</f>
        <v>cái</v>
      </c>
      <c r="D713" s="8">
        <f>Gia_Tbi!D4</f>
        <v>0.4</v>
      </c>
      <c r="E713" s="8">
        <f>Gia_Tbi!E4</f>
        <v>5</v>
      </c>
      <c r="F713" s="104">
        <f>Gia_Tbi!F4</f>
        <v>10000000</v>
      </c>
      <c r="G713" s="105">
        <f>Gia_Tbi!G4</f>
        <v>4000</v>
      </c>
      <c r="H713" s="203">
        <v>0.2</v>
      </c>
      <c r="I713" s="106">
        <f>G713*H713</f>
        <v>800</v>
      </c>
      <c r="K713" s="99">
        <v>708</v>
      </c>
    </row>
    <row r="714" spans="1:11">
      <c r="A714" s="15">
        <v>2</v>
      </c>
      <c r="B714" s="7" t="s">
        <v>74</v>
      </c>
      <c r="C714" s="8" t="str">
        <f>Gia_Tbi!C5</f>
        <v>cái</v>
      </c>
      <c r="D714" s="8">
        <f>Gia_Tbi!D5</f>
        <v>0.6</v>
      </c>
      <c r="E714" s="8">
        <f>Gia_Tbi!E5</f>
        <v>5</v>
      </c>
      <c r="F714" s="104">
        <f>Gia_Tbi!F5</f>
        <v>2500000</v>
      </c>
      <c r="G714" s="105">
        <f>Gia_Tbi!G5</f>
        <v>1000</v>
      </c>
      <c r="H714" s="203">
        <v>4.0000000000000001E-3</v>
      </c>
      <c r="I714" s="106">
        <f>G714*H714</f>
        <v>4</v>
      </c>
      <c r="K714" s="99">
        <v>709</v>
      </c>
    </row>
    <row r="715" spans="1:11">
      <c r="A715" s="15">
        <v>3</v>
      </c>
      <c r="B715" s="7" t="s">
        <v>24</v>
      </c>
      <c r="C715" s="8" t="str">
        <f>Gia_Tbi!C6</f>
        <v>cái</v>
      </c>
      <c r="D715" s="8">
        <f>Gia_Tbi!D6</f>
        <v>2.2000000000000002</v>
      </c>
      <c r="E715" s="8">
        <f>Gia_Tbi!E6</f>
        <v>8</v>
      </c>
      <c r="F715" s="104">
        <f>Gia_Tbi!F6</f>
        <v>12000000</v>
      </c>
      <c r="G715" s="105">
        <f>Gia_Tbi!G6</f>
        <v>3000</v>
      </c>
      <c r="H715" s="203">
        <v>6.7000000000000004E-2</v>
      </c>
      <c r="I715" s="106">
        <f>G715*H715</f>
        <v>201</v>
      </c>
      <c r="K715" s="99">
        <v>710</v>
      </c>
    </row>
    <row r="716" spans="1:11">
      <c r="A716" s="15">
        <v>4</v>
      </c>
      <c r="B716" s="7" t="s">
        <v>23</v>
      </c>
      <c r="C716" s="8" t="str">
        <f>Gia_Tbi!C7</f>
        <v>cái</v>
      </c>
      <c r="D716" s="8">
        <f>Gia_Tbi!D7</f>
        <v>1.5</v>
      </c>
      <c r="E716" s="8">
        <f>Gia_Tbi!E7</f>
        <v>8</v>
      </c>
      <c r="F716" s="104">
        <f>Gia_Tbi!F7</f>
        <v>44000000</v>
      </c>
      <c r="G716" s="105">
        <f>Gia_Tbi!G7</f>
        <v>11000</v>
      </c>
      <c r="H716" s="203">
        <v>3.0000000000000001E-3</v>
      </c>
      <c r="I716" s="106">
        <f>G716*H716</f>
        <v>33</v>
      </c>
      <c r="K716" s="99">
        <v>711</v>
      </c>
    </row>
    <row r="717" spans="1:11">
      <c r="A717" s="57">
        <v>5</v>
      </c>
      <c r="B717" s="58" t="s">
        <v>8</v>
      </c>
      <c r="C717" s="59" t="str">
        <f>Gia_Tbi!C10</f>
        <v>Cái</v>
      </c>
      <c r="D717" s="59">
        <f>Gia_Tbi!D10</f>
        <v>1</v>
      </c>
      <c r="E717" s="140">
        <f>Gia_Tbi!E10</f>
        <v>10</v>
      </c>
      <c r="F717" s="108">
        <f>Gia_Tbi!F10</f>
        <v>80000000</v>
      </c>
      <c r="G717" s="109">
        <f>Gia_Tbi!G10</f>
        <v>16000</v>
      </c>
      <c r="H717" s="197">
        <f>(H713*D713+H714*D714+H715*D715+H716*D716)*8</f>
        <v>1.8744000000000005</v>
      </c>
      <c r="I717" s="144">
        <f>G717*H717*E717</f>
        <v>299904.00000000012</v>
      </c>
      <c r="K717" s="99">
        <v>712</v>
      </c>
    </row>
    <row r="718" spans="1:11" s="103" customFormat="1">
      <c r="A718" s="44" t="e">
        <f>#REF!</f>
        <v>#REF!</v>
      </c>
      <c r="B718" s="45" t="e">
        <f>#REF!</f>
        <v>#REF!</v>
      </c>
      <c r="C718" s="20"/>
      <c r="D718" s="20"/>
      <c r="E718" s="20"/>
      <c r="F718" s="100"/>
      <c r="G718" s="101"/>
      <c r="H718" s="133"/>
      <c r="I718" s="102">
        <f>SUM(I719:I722)</f>
        <v>200</v>
      </c>
      <c r="K718" s="99">
        <v>713</v>
      </c>
    </row>
    <row r="719" spans="1:11">
      <c r="A719" s="15">
        <v>1</v>
      </c>
      <c r="B719" s="7" t="s">
        <v>73</v>
      </c>
      <c r="C719" s="8" t="str">
        <f>Gia_Tbi!C4</f>
        <v>cái</v>
      </c>
      <c r="D719" s="8">
        <f>Gia_Tbi!D4</f>
        <v>0.4</v>
      </c>
      <c r="E719" s="8">
        <f>Gia_Tbi!E4</f>
        <v>5</v>
      </c>
      <c r="F719" s="104">
        <f>Gia_Tbi!F4</f>
        <v>10000000</v>
      </c>
      <c r="G719" s="105">
        <f>Gia_Tbi!G4</f>
        <v>4000</v>
      </c>
      <c r="H719" s="203">
        <v>3.5000000000000003E-2</v>
      </c>
      <c r="I719" s="106">
        <f>G719*H719</f>
        <v>140</v>
      </c>
      <c r="K719" s="99">
        <v>714</v>
      </c>
    </row>
    <row r="720" spans="1:11">
      <c r="A720" s="15">
        <v>2</v>
      </c>
      <c r="B720" s="7" t="s">
        <v>74</v>
      </c>
      <c r="C720" s="8" t="str">
        <f>Gia_Tbi!C5</f>
        <v>cái</v>
      </c>
      <c r="D720" s="8">
        <f>Gia_Tbi!D5</f>
        <v>0.6</v>
      </c>
      <c r="E720" s="8">
        <f>Gia_Tbi!E5</f>
        <v>5</v>
      </c>
      <c r="F720" s="104">
        <f>Gia_Tbi!F5</f>
        <v>2500000</v>
      </c>
      <c r="G720" s="105">
        <f>Gia_Tbi!G5</f>
        <v>1000</v>
      </c>
      <c r="H720" s="203">
        <v>2E-3</v>
      </c>
      <c r="I720" s="106">
        <f>G720*H720</f>
        <v>2</v>
      </c>
      <c r="K720" s="99">
        <v>715</v>
      </c>
    </row>
    <row r="721" spans="1:11">
      <c r="A721" s="15">
        <v>3</v>
      </c>
      <c r="B721" s="7" t="s">
        <v>24</v>
      </c>
      <c r="C721" s="8" t="str">
        <f>Gia_Tbi!C6</f>
        <v>cái</v>
      </c>
      <c r="D721" s="8">
        <f>Gia_Tbi!D6</f>
        <v>2.2000000000000002</v>
      </c>
      <c r="E721" s="8">
        <f>Gia_Tbi!E6</f>
        <v>8</v>
      </c>
      <c r="F721" s="104">
        <f>Gia_Tbi!F6</f>
        <v>12000000</v>
      </c>
      <c r="G721" s="105">
        <f>Gia_Tbi!G6</f>
        <v>3000</v>
      </c>
      <c r="H721" s="203">
        <v>1.2E-2</v>
      </c>
      <c r="I721" s="106">
        <f>G721*H721</f>
        <v>36</v>
      </c>
      <c r="K721" s="99">
        <v>716</v>
      </c>
    </row>
    <row r="722" spans="1:11">
      <c r="A722" s="15">
        <v>4</v>
      </c>
      <c r="B722" s="7" t="s">
        <v>23</v>
      </c>
      <c r="C722" s="8" t="str">
        <f>Gia_Tbi!C7</f>
        <v>cái</v>
      </c>
      <c r="D722" s="8">
        <f>Gia_Tbi!D7</f>
        <v>1.5</v>
      </c>
      <c r="E722" s="8">
        <f>Gia_Tbi!E7</f>
        <v>8</v>
      </c>
      <c r="F722" s="104">
        <f>Gia_Tbi!F7</f>
        <v>44000000</v>
      </c>
      <c r="G722" s="105">
        <f>Gia_Tbi!G7</f>
        <v>11000</v>
      </c>
      <c r="H722" s="203">
        <v>2E-3</v>
      </c>
      <c r="I722" s="106">
        <f>G722*H722</f>
        <v>22</v>
      </c>
      <c r="K722" s="99">
        <v>717</v>
      </c>
    </row>
    <row r="723" spans="1:11">
      <c r="A723" s="57">
        <v>5</v>
      </c>
      <c r="B723" s="58" t="s">
        <v>8</v>
      </c>
      <c r="C723" s="59" t="str">
        <f>Gia_Tbi!C10</f>
        <v>Cái</v>
      </c>
      <c r="D723" s="59">
        <f>Gia_Tbi!D10</f>
        <v>1</v>
      </c>
      <c r="E723" s="140">
        <f>Gia_Tbi!E10</f>
        <v>10</v>
      </c>
      <c r="F723" s="108">
        <f>Gia_Tbi!F10</f>
        <v>80000000</v>
      </c>
      <c r="G723" s="109">
        <f>Gia_Tbi!G10</f>
        <v>16000</v>
      </c>
      <c r="H723" s="197">
        <f>(H719*D719+H720*D720+H721*D721+H722*D722)*8</f>
        <v>0.35680000000000006</v>
      </c>
      <c r="I723" s="144">
        <f>G723*H723*E723</f>
        <v>57088.000000000015</v>
      </c>
      <c r="K723" s="99">
        <v>718</v>
      </c>
    </row>
    <row r="724" spans="1:11" s="103" customFormat="1">
      <c r="A724" s="44" t="e">
        <f>#REF!</f>
        <v>#REF!</v>
      </c>
      <c r="B724" s="45" t="e">
        <f>#REF!</f>
        <v>#REF!</v>
      </c>
      <c r="C724" s="20"/>
      <c r="D724" s="20"/>
      <c r="E724" s="20"/>
      <c r="F724" s="100"/>
      <c r="G724" s="101"/>
      <c r="H724" s="133"/>
      <c r="I724" s="102">
        <f>SUM(I725:I728)</f>
        <v>670</v>
      </c>
      <c r="K724" s="99">
        <v>719</v>
      </c>
    </row>
    <row r="725" spans="1:11">
      <c r="A725" s="15">
        <v>1</v>
      </c>
      <c r="B725" s="7" t="s">
        <v>73</v>
      </c>
      <c r="C725" s="8" t="str">
        <f>Gia_Tbi!C4</f>
        <v>cái</v>
      </c>
      <c r="D725" s="8">
        <f>Gia_Tbi!D4</f>
        <v>0.4</v>
      </c>
      <c r="E725" s="8">
        <f>Gia_Tbi!E4</f>
        <v>5</v>
      </c>
      <c r="F725" s="104">
        <f>Gia_Tbi!F4</f>
        <v>10000000</v>
      </c>
      <c r="G725" s="105">
        <f>Gia_Tbi!G4</f>
        <v>4000</v>
      </c>
      <c r="H725" s="203">
        <v>0.127</v>
      </c>
      <c r="I725" s="106">
        <f>G725*H725</f>
        <v>508</v>
      </c>
      <c r="K725" s="99">
        <v>720</v>
      </c>
    </row>
    <row r="726" spans="1:11">
      <c r="A726" s="15">
        <v>2</v>
      </c>
      <c r="B726" s="7" t="s">
        <v>74</v>
      </c>
      <c r="C726" s="8" t="str">
        <f>Gia_Tbi!C5</f>
        <v>cái</v>
      </c>
      <c r="D726" s="8">
        <f>Gia_Tbi!D5</f>
        <v>0.6</v>
      </c>
      <c r="E726" s="8">
        <f>Gia_Tbi!E5</f>
        <v>5</v>
      </c>
      <c r="F726" s="104">
        <f>Gia_Tbi!F5</f>
        <v>2500000</v>
      </c>
      <c r="G726" s="105">
        <f>Gia_Tbi!G5</f>
        <v>1000</v>
      </c>
      <c r="H726" s="203">
        <v>3.0000000000000001E-3</v>
      </c>
      <c r="I726" s="106">
        <f>G726*H726</f>
        <v>3</v>
      </c>
      <c r="K726" s="99">
        <v>721</v>
      </c>
    </row>
    <row r="727" spans="1:11">
      <c r="A727" s="15">
        <v>3</v>
      </c>
      <c r="B727" s="7" t="s">
        <v>24</v>
      </c>
      <c r="C727" s="8" t="str">
        <f>Gia_Tbi!C6</f>
        <v>cái</v>
      </c>
      <c r="D727" s="8">
        <f>Gia_Tbi!D6</f>
        <v>2.2000000000000002</v>
      </c>
      <c r="E727" s="8">
        <f>Gia_Tbi!E6</f>
        <v>8</v>
      </c>
      <c r="F727" s="104">
        <f>Gia_Tbi!F6</f>
        <v>12000000</v>
      </c>
      <c r="G727" s="105">
        <f>Gia_Tbi!G6</f>
        <v>3000</v>
      </c>
      <c r="H727" s="203">
        <v>4.2000000000000003E-2</v>
      </c>
      <c r="I727" s="106">
        <f>G727*H727</f>
        <v>126.00000000000001</v>
      </c>
      <c r="K727" s="99">
        <v>722</v>
      </c>
    </row>
    <row r="728" spans="1:11">
      <c r="A728" s="15">
        <v>4</v>
      </c>
      <c r="B728" s="7" t="s">
        <v>23</v>
      </c>
      <c r="C728" s="8" t="str">
        <f>Gia_Tbi!C7</f>
        <v>cái</v>
      </c>
      <c r="D728" s="8">
        <f>Gia_Tbi!D7</f>
        <v>1.5</v>
      </c>
      <c r="E728" s="8">
        <f>Gia_Tbi!E7</f>
        <v>8</v>
      </c>
      <c r="F728" s="104">
        <f>Gia_Tbi!F7</f>
        <v>44000000</v>
      </c>
      <c r="G728" s="105">
        <f>Gia_Tbi!G7</f>
        <v>11000</v>
      </c>
      <c r="H728" s="203">
        <v>3.0000000000000001E-3</v>
      </c>
      <c r="I728" s="106">
        <f>G728*H728</f>
        <v>33</v>
      </c>
      <c r="K728" s="99">
        <v>723</v>
      </c>
    </row>
    <row r="729" spans="1:11">
      <c r="A729" s="57">
        <v>5</v>
      </c>
      <c r="B729" s="58" t="s">
        <v>8</v>
      </c>
      <c r="C729" s="59" t="str">
        <f>Gia_Tbi!C10</f>
        <v>Cái</v>
      </c>
      <c r="D729" s="59">
        <f>Gia_Tbi!D10</f>
        <v>1</v>
      </c>
      <c r="E729" s="140">
        <f>Gia_Tbi!E10</f>
        <v>10</v>
      </c>
      <c r="F729" s="108">
        <f>Gia_Tbi!F10</f>
        <v>80000000</v>
      </c>
      <c r="G729" s="109">
        <f>Gia_Tbi!G10</f>
        <v>16000</v>
      </c>
      <c r="H729" s="197">
        <f>(H725*D725+H726*D726+H727*D727+H728*D728)*8</f>
        <v>1.1960000000000002</v>
      </c>
      <c r="I729" s="144">
        <f>G729*H729*E729</f>
        <v>191360.00000000003</v>
      </c>
      <c r="K729" s="99">
        <v>724</v>
      </c>
    </row>
    <row r="730" spans="1:11" s="103" customFormat="1">
      <c r="A730" s="44" t="e">
        <f>#REF!</f>
        <v>#REF!</v>
      </c>
      <c r="B730" s="45" t="e">
        <f>#REF!</f>
        <v>#REF!</v>
      </c>
      <c r="C730" s="20"/>
      <c r="D730" s="20"/>
      <c r="E730" s="20"/>
      <c r="F730" s="100"/>
      <c r="G730" s="101"/>
      <c r="H730" s="133"/>
      <c r="I730" s="102">
        <f>SUM(I731:I734)</f>
        <v>451</v>
      </c>
      <c r="K730" s="99">
        <v>725</v>
      </c>
    </row>
    <row r="731" spans="1:11">
      <c r="A731" s="15">
        <v>1</v>
      </c>
      <c r="B731" s="7" t="s">
        <v>73</v>
      </c>
      <c r="C731" s="8" t="str">
        <f>Gia_Tbi!C4</f>
        <v>cái</v>
      </c>
      <c r="D731" s="8">
        <f>Gia_Tbi!D4</f>
        <v>0.4</v>
      </c>
      <c r="E731" s="8">
        <f>Gia_Tbi!E4</f>
        <v>5</v>
      </c>
      <c r="F731" s="104">
        <f>Gia_Tbi!F4</f>
        <v>10000000</v>
      </c>
      <c r="G731" s="105">
        <f>Gia_Tbi!G4</f>
        <v>4000</v>
      </c>
      <c r="H731" s="203">
        <v>8.7999999999999995E-2</v>
      </c>
      <c r="I731" s="106">
        <f>G731*H731</f>
        <v>352</v>
      </c>
      <c r="K731" s="99">
        <v>726</v>
      </c>
    </row>
    <row r="732" spans="1:11">
      <c r="A732" s="15">
        <v>2</v>
      </c>
      <c r="B732" s="7" t="s">
        <v>74</v>
      </c>
      <c r="C732" s="8" t="str">
        <f>Gia_Tbi!C5</f>
        <v>cái</v>
      </c>
      <c r="D732" s="8">
        <f>Gia_Tbi!D5</f>
        <v>0.6</v>
      </c>
      <c r="E732" s="8">
        <f>Gia_Tbi!E5</f>
        <v>5</v>
      </c>
      <c r="F732" s="104">
        <f>Gia_Tbi!F5</f>
        <v>2500000</v>
      </c>
      <c r="G732" s="105">
        <f>Gia_Tbi!G5</f>
        <v>1000</v>
      </c>
      <c r="H732" s="203">
        <v>1E-3</v>
      </c>
      <c r="I732" s="106">
        <f>G732*H732</f>
        <v>1</v>
      </c>
      <c r="K732" s="99">
        <v>727</v>
      </c>
    </row>
    <row r="733" spans="1:11">
      <c r="A733" s="15">
        <v>3</v>
      </c>
      <c r="B733" s="7" t="s">
        <v>24</v>
      </c>
      <c r="C733" s="8" t="str">
        <f>Gia_Tbi!C6</f>
        <v>cái</v>
      </c>
      <c r="D733" s="8">
        <f>Gia_Tbi!D6</f>
        <v>2.2000000000000002</v>
      </c>
      <c r="E733" s="8">
        <f>Gia_Tbi!E6</f>
        <v>8</v>
      </c>
      <c r="F733" s="104">
        <f>Gia_Tbi!F6</f>
        <v>12000000</v>
      </c>
      <c r="G733" s="105">
        <f>Gia_Tbi!G6</f>
        <v>3000</v>
      </c>
      <c r="H733" s="203">
        <v>2.9000000000000001E-2</v>
      </c>
      <c r="I733" s="106">
        <f>G733*H733</f>
        <v>87</v>
      </c>
      <c r="K733" s="99">
        <v>728</v>
      </c>
    </row>
    <row r="734" spans="1:11">
      <c r="A734" s="15">
        <v>4</v>
      </c>
      <c r="B734" s="7" t="s">
        <v>23</v>
      </c>
      <c r="C734" s="8" t="str">
        <f>Gia_Tbi!C7</f>
        <v>cái</v>
      </c>
      <c r="D734" s="8">
        <f>Gia_Tbi!D7</f>
        <v>1.5</v>
      </c>
      <c r="E734" s="8">
        <f>Gia_Tbi!E7</f>
        <v>8</v>
      </c>
      <c r="F734" s="104">
        <f>Gia_Tbi!F7</f>
        <v>44000000</v>
      </c>
      <c r="G734" s="105">
        <f>Gia_Tbi!G7</f>
        <v>11000</v>
      </c>
      <c r="H734" s="203">
        <v>1E-3</v>
      </c>
      <c r="I734" s="106">
        <f>G734*H734</f>
        <v>11</v>
      </c>
      <c r="K734" s="99">
        <v>729</v>
      </c>
    </row>
    <row r="735" spans="1:11">
      <c r="A735" s="57">
        <v>5</v>
      </c>
      <c r="B735" s="58" t="s">
        <v>8</v>
      </c>
      <c r="C735" s="59" t="str">
        <f>Gia_Tbi!C10</f>
        <v>Cái</v>
      </c>
      <c r="D735" s="59">
        <f>Gia_Tbi!D10</f>
        <v>1</v>
      </c>
      <c r="E735" s="140">
        <f>Gia_Tbi!E10</f>
        <v>10</v>
      </c>
      <c r="F735" s="108">
        <f>Gia_Tbi!F10</f>
        <v>80000000</v>
      </c>
      <c r="G735" s="109">
        <f>Gia_Tbi!G10</f>
        <v>16000</v>
      </c>
      <c r="H735" s="197">
        <f>(H731*D731+H732*D732+H733*D733+H734*D734)*8</f>
        <v>0.80880000000000019</v>
      </c>
      <c r="I735" s="144">
        <f>G735*H735*E735</f>
        <v>129408.00000000003</v>
      </c>
      <c r="K735" s="99">
        <v>730</v>
      </c>
    </row>
    <row r="736" spans="1:11" s="103" customFormat="1">
      <c r="A736" s="44" t="e">
        <f>#REF!</f>
        <v>#REF!</v>
      </c>
      <c r="B736" s="45" t="e">
        <f>#REF!</f>
        <v>#REF!</v>
      </c>
      <c r="C736" s="20"/>
      <c r="D736" s="20"/>
      <c r="E736" s="20"/>
      <c r="F736" s="100"/>
      <c r="G736" s="101"/>
      <c r="H736" s="133"/>
      <c r="I736" s="102"/>
      <c r="K736" s="99">
        <v>731</v>
      </c>
    </row>
    <row r="737" spans="1:11">
      <c r="A737" s="15" t="e">
        <f>#REF!</f>
        <v>#REF!</v>
      </c>
      <c r="B737" s="7" t="e">
        <f>#REF!</f>
        <v>#REF!</v>
      </c>
      <c r="C737" s="8"/>
      <c r="D737" s="8"/>
      <c r="E737" s="8"/>
      <c r="F737" s="104"/>
      <c r="G737" s="105"/>
      <c r="H737" s="196"/>
      <c r="I737" s="106"/>
      <c r="K737" s="99">
        <v>732</v>
      </c>
    </row>
    <row r="738" spans="1:11">
      <c r="A738" s="15" t="e">
        <f>#REF!</f>
        <v>#REF!</v>
      </c>
      <c r="B738" s="7" t="e">
        <f>#REF!</f>
        <v>#REF!</v>
      </c>
      <c r="C738" s="8"/>
      <c r="D738" s="8"/>
      <c r="E738" s="8"/>
      <c r="F738" s="104"/>
      <c r="G738" s="105"/>
      <c r="H738" s="196"/>
      <c r="I738" s="106"/>
      <c r="K738" s="99">
        <v>733</v>
      </c>
    </row>
    <row r="739" spans="1:11">
      <c r="A739" s="15" t="e">
        <f>#REF!</f>
        <v>#REF!</v>
      </c>
      <c r="B739" s="7" t="e">
        <f>#REF!</f>
        <v>#REF!</v>
      </c>
      <c r="C739" s="8"/>
      <c r="D739" s="8"/>
      <c r="E739" s="8"/>
      <c r="F739" s="104"/>
      <c r="G739" s="105"/>
      <c r="H739" s="196"/>
      <c r="I739" s="106">
        <f>I699</f>
        <v>1520</v>
      </c>
      <c r="K739" s="99">
        <v>734</v>
      </c>
    </row>
    <row r="740" spans="1:11">
      <c r="A740" s="57"/>
      <c r="B740" s="58" t="s">
        <v>8</v>
      </c>
      <c r="C740" s="59" t="str">
        <f>Gia_Tbi!C10</f>
        <v>Cái</v>
      </c>
      <c r="D740" s="59">
        <f>Gia_Tbi!D10</f>
        <v>1</v>
      </c>
      <c r="E740" s="140">
        <f>Gia_Tbi!E10</f>
        <v>10</v>
      </c>
      <c r="F740" s="108">
        <f>Gia_Tbi!F10</f>
        <v>80000000</v>
      </c>
      <c r="G740" s="109">
        <f>Gia_Tbi!G10</f>
        <v>16000</v>
      </c>
      <c r="H740" s="197"/>
      <c r="I740" s="110">
        <f>I704</f>
        <v>436864.00000000012</v>
      </c>
      <c r="K740" s="99">
        <v>735</v>
      </c>
    </row>
    <row r="741" spans="1:11">
      <c r="A741" s="15" t="e">
        <f>#REF!</f>
        <v>#REF!</v>
      </c>
      <c r="B741" s="7" t="e">
        <f>#REF!</f>
        <v>#REF!</v>
      </c>
      <c r="C741" s="8"/>
      <c r="D741" s="8"/>
      <c r="E741" s="8"/>
      <c r="F741" s="104"/>
      <c r="G741" s="105"/>
      <c r="H741" s="196"/>
      <c r="I741" s="106">
        <f>I705</f>
        <v>1238</v>
      </c>
      <c r="K741" s="99">
        <v>736</v>
      </c>
    </row>
    <row r="742" spans="1:11">
      <c r="A742" s="57"/>
      <c r="B742" s="58" t="s">
        <v>8</v>
      </c>
      <c r="C742" s="59" t="str">
        <f>Gia_Tbi!C10</f>
        <v>Cái</v>
      </c>
      <c r="D742" s="59">
        <f>Gia_Tbi!D10</f>
        <v>1</v>
      </c>
      <c r="E742" s="140">
        <f>Gia_Tbi!E10</f>
        <v>10</v>
      </c>
      <c r="F742" s="108">
        <f>Gia_Tbi!F10</f>
        <v>80000000</v>
      </c>
      <c r="G742" s="109">
        <f>Gia_Tbi!G10</f>
        <v>16000</v>
      </c>
      <c r="H742" s="197"/>
      <c r="I742" s="110">
        <f>I710</f>
        <v>355840</v>
      </c>
      <c r="K742" s="99">
        <v>737</v>
      </c>
    </row>
    <row r="743" spans="1:11">
      <c r="A743" s="15" t="e">
        <f>#REF!</f>
        <v>#REF!</v>
      </c>
      <c r="B743" s="7" t="e">
        <f>#REF!</f>
        <v>#REF!</v>
      </c>
      <c r="C743" s="8"/>
      <c r="D743" s="8"/>
      <c r="E743" s="8"/>
      <c r="F743" s="104"/>
      <c r="G743" s="105"/>
      <c r="H743" s="196"/>
      <c r="I743" s="106"/>
      <c r="K743" s="99">
        <v>738</v>
      </c>
    </row>
    <row r="744" spans="1:11">
      <c r="A744" s="15" t="e">
        <f>#REF!</f>
        <v>#REF!</v>
      </c>
      <c r="B744" s="7" t="e">
        <f>#REF!</f>
        <v>#REF!</v>
      </c>
      <c r="C744" s="8"/>
      <c r="D744" s="8"/>
      <c r="E744" s="8"/>
      <c r="F744" s="104"/>
      <c r="G744" s="105"/>
      <c r="H744" s="196"/>
      <c r="I744" s="106">
        <f>I712</f>
        <v>1038</v>
      </c>
      <c r="K744" s="99">
        <v>739</v>
      </c>
    </row>
    <row r="745" spans="1:11">
      <c r="A745" s="57"/>
      <c r="B745" s="58" t="s">
        <v>8</v>
      </c>
      <c r="C745" s="59" t="str">
        <f>Gia_Tbi!C10</f>
        <v>Cái</v>
      </c>
      <c r="D745" s="59">
        <f>Gia_Tbi!D10</f>
        <v>1</v>
      </c>
      <c r="E745" s="140">
        <f>Gia_Tbi!E10</f>
        <v>10</v>
      </c>
      <c r="F745" s="108">
        <f>Gia_Tbi!F10</f>
        <v>80000000</v>
      </c>
      <c r="G745" s="109">
        <f>Gia_Tbi!G10</f>
        <v>16000</v>
      </c>
      <c r="H745" s="197"/>
      <c r="I745" s="110">
        <f>I717</f>
        <v>299904.00000000012</v>
      </c>
      <c r="K745" s="99">
        <v>740</v>
      </c>
    </row>
    <row r="746" spans="1:11">
      <c r="A746" s="15" t="e">
        <f>#REF!</f>
        <v>#REF!</v>
      </c>
      <c r="B746" s="7" t="e">
        <f>#REF!</f>
        <v>#REF!</v>
      </c>
      <c r="C746" s="8"/>
      <c r="D746" s="8"/>
      <c r="E746" s="8"/>
      <c r="F746" s="104"/>
      <c r="G746" s="105"/>
      <c r="H746" s="196"/>
      <c r="I746" s="106">
        <f>I718</f>
        <v>200</v>
      </c>
      <c r="K746" s="99">
        <v>741</v>
      </c>
    </row>
    <row r="747" spans="1:11">
      <c r="A747" s="57"/>
      <c r="B747" s="58" t="s">
        <v>8</v>
      </c>
      <c r="C747" s="59" t="str">
        <f>Gia_Tbi!C10</f>
        <v>Cái</v>
      </c>
      <c r="D747" s="59">
        <f>Gia_Tbi!D10</f>
        <v>1</v>
      </c>
      <c r="E747" s="140">
        <f>Gia_Tbi!E10</f>
        <v>10</v>
      </c>
      <c r="F747" s="108">
        <f>Gia_Tbi!F10</f>
        <v>80000000</v>
      </c>
      <c r="G747" s="109">
        <f>Gia_Tbi!G10</f>
        <v>16000</v>
      </c>
      <c r="H747" s="197"/>
      <c r="I747" s="110">
        <f>I723</f>
        <v>57088.000000000015</v>
      </c>
      <c r="K747" s="99">
        <v>742</v>
      </c>
    </row>
    <row r="748" spans="1:11">
      <c r="A748" s="15" t="e">
        <f>#REF!</f>
        <v>#REF!</v>
      </c>
      <c r="B748" s="7" t="e">
        <f>#REF!</f>
        <v>#REF!</v>
      </c>
      <c r="C748" s="8"/>
      <c r="D748" s="8"/>
      <c r="E748" s="8"/>
      <c r="F748" s="104"/>
      <c r="G748" s="105"/>
      <c r="H748" s="196"/>
      <c r="I748" s="106">
        <f>I724</f>
        <v>670</v>
      </c>
      <c r="K748" s="99">
        <v>743</v>
      </c>
    </row>
    <row r="749" spans="1:11">
      <c r="A749" s="57"/>
      <c r="B749" s="58" t="s">
        <v>8</v>
      </c>
      <c r="C749" s="59" t="str">
        <f>Gia_Tbi!C10</f>
        <v>Cái</v>
      </c>
      <c r="D749" s="59">
        <f>Gia_Tbi!D10</f>
        <v>1</v>
      </c>
      <c r="E749" s="140">
        <f>Gia_Tbi!E10</f>
        <v>10</v>
      </c>
      <c r="F749" s="108">
        <f>Gia_Tbi!F10</f>
        <v>80000000</v>
      </c>
      <c r="G749" s="109">
        <f>Gia_Tbi!G10</f>
        <v>16000</v>
      </c>
      <c r="H749" s="197"/>
      <c r="I749" s="110">
        <f>I729</f>
        <v>191360.00000000003</v>
      </c>
      <c r="K749" s="99">
        <v>744</v>
      </c>
    </row>
    <row r="750" spans="1:11">
      <c r="A750" s="15" t="e">
        <f>#REF!</f>
        <v>#REF!</v>
      </c>
      <c r="B750" s="7" t="e">
        <f>#REF!</f>
        <v>#REF!</v>
      </c>
      <c r="C750" s="8"/>
      <c r="D750" s="8"/>
      <c r="E750" s="8"/>
      <c r="F750" s="104"/>
      <c r="G750" s="105"/>
      <c r="H750" s="196"/>
      <c r="I750" s="106">
        <f>I730</f>
        <v>451</v>
      </c>
      <c r="K750" s="99">
        <v>745</v>
      </c>
    </row>
    <row r="751" spans="1:11">
      <c r="A751" s="57"/>
      <c r="B751" s="58" t="s">
        <v>8</v>
      </c>
      <c r="C751" s="59" t="str">
        <f>Gia_Tbi!C10</f>
        <v>Cái</v>
      </c>
      <c r="D751" s="59">
        <f>Gia_Tbi!D10</f>
        <v>1</v>
      </c>
      <c r="E751" s="140">
        <f>Gia_Tbi!E10</f>
        <v>10</v>
      </c>
      <c r="F751" s="108">
        <f>Gia_Tbi!F10</f>
        <v>80000000</v>
      </c>
      <c r="G751" s="109">
        <f>Gia_Tbi!G10</f>
        <v>16000</v>
      </c>
      <c r="H751" s="197"/>
      <c r="I751" s="110">
        <f>I735</f>
        <v>129408.00000000003</v>
      </c>
      <c r="K751" s="99">
        <v>746</v>
      </c>
    </row>
    <row r="752" spans="1:11" s="103" customFormat="1">
      <c r="A752" s="74" t="e">
        <f>#REF!</f>
        <v>#REF!</v>
      </c>
      <c r="B752" s="75" t="e">
        <f>#REF!</f>
        <v>#REF!</v>
      </c>
      <c r="C752" s="76"/>
      <c r="D752" s="76"/>
      <c r="E752" s="76"/>
      <c r="F752" s="118"/>
      <c r="G752" s="114"/>
      <c r="H752" s="132"/>
      <c r="I752" s="119"/>
      <c r="K752" s="99">
        <v>747</v>
      </c>
    </row>
    <row r="753" spans="1:11">
      <c r="A753" s="15" t="e">
        <f>#REF!</f>
        <v>#REF!</v>
      </c>
      <c r="B753" s="7" t="e">
        <f>#REF!</f>
        <v>#REF!</v>
      </c>
      <c r="C753" s="8"/>
      <c r="D753" s="8"/>
      <c r="E753" s="8"/>
      <c r="F753" s="104"/>
      <c r="G753" s="105"/>
      <c r="H753" s="196"/>
      <c r="I753" s="106"/>
      <c r="K753" s="99">
        <v>748</v>
      </c>
    </row>
    <row r="754" spans="1:11">
      <c r="A754" s="15" t="e">
        <f>#REF!</f>
        <v>#REF!</v>
      </c>
      <c r="B754" s="7" t="e">
        <f>#REF!</f>
        <v>#REF!</v>
      </c>
      <c r="C754" s="8"/>
      <c r="D754" s="8"/>
      <c r="E754" s="8"/>
      <c r="F754" s="104"/>
      <c r="G754" s="105"/>
      <c r="H754" s="196"/>
      <c r="I754" s="106">
        <f>I739</f>
        <v>1520</v>
      </c>
      <c r="K754" s="99">
        <v>749</v>
      </c>
    </row>
    <row r="755" spans="1:11">
      <c r="A755" s="57"/>
      <c r="B755" s="58" t="s">
        <v>8</v>
      </c>
      <c r="C755" s="59" t="str">
        <f>Gia_Tbi!C10</f>
        <v>Cái</v>
      </c>
      <c r="D755" s="59">
        <f>Gia_Tbi!D10</f>
        <v>1</v>
      </c>
      <c r="E755" s="140">
        <f>Gia_Tbi!E10</f>
        <v>10</v>
      </c>
      <c r="F755" s="108">
        <f>Gia_Tbi!F10</f>
        <v>80000000</v>
      </c>
      <c r="G755" s="109">
        <f>Gia_Tbi!G10</f>
        <v>16000</v>
      </c>
      <c r="H755" s="197"/>
      <c r="I755" s="110">
        <f>I740</f>
        <v>436864.00000000012</v>
      </c>
      <c r="K755" s="99">
        <v>750</v>
      </c>
    </row>
    <row r="756" spans="1:11">
      <c r="A756" s="15" t="e">
        <f>#REF!</f>
        <v>#REF!</v>
      </c>
      <c r="B756" s="7" t="e">
        <f>#REF!</f>
        <v>#REF!</v>
      </c>
      <c r="C756" s="8"/>
      <c r="D756" s="8"/>
      <c r="E756" s="8"/>
      <c r="F756" s="104"/>
      <c r="G756" s="105"/>
      <c r="H756" s="196"/>
      <c r="I756" s="106">
        <f>I741</f>
        <v>1238</v>
      </c>
      <c r="K756" s="99">
        <v>751</v>
      </c>
    </row>
    <row r="757" spans="1:11">
      <c r="A757" s="57"/>
      <c r="B757" s="58" t="s">
        <v>8</v>
      </c>
      <c r="C757" s="59" t="str">
        <f>Gia_Tbi!C10</f>
        <v>Cái</v>
      </c>
      <c r="D757" s="59">
        <f>Gia_Tbi!D10</f>
        <v>1</v>
      </c>
      <c r="E757" s="140">
        <f>Gia_Tbi!E10</f>
        <v>10</v>
      </c>
      <c r="F757" s="108">
        <f>Gia_Tbi!F10</f>
        <v>80000000</v>
      </c>
      <c r="G757" s="109">
        <f>Gia_Tbi!G10</f>
        <v>16000</v>
      </c>
      <c r="H757" s="197"/>
      <c r="I757" s="110">
        <f>I742</f>
        <v>355840</v>
      </c>
      <c r="K757" s="99">
        <v>752</v>
      </c>
    </row>
    <row r="758" spans="1:11">
      <c r="A758" s="15" t="e">
        <f>#REF!</f>
        <v>#REF!</v>
      </c>
      <c r="B758" s="7" t="e">
        <f>#REF!</f>
        <v>#REF!</v>
      </c>
      <c r="C758" s="8"/>
      <c r="D758" s="8"/>
      <c r="E758" s="8"/>
      <c r="F758" s="104"/>
      <c r="G758" s="105"/>
      <c r="H758" s="196"/>
      <c r="I758" s="106">
        <f>I748</f>
        <v>670</v>
      </c>
      <c r="K758" s="99">
        <v>753</v>
      </c>
    </row>
    <row r="759" spans="1:11">
      <c r="A759" s="57"/>
      <c r="B759" s="58" t="s">
        <v>8</v>
      </c>
      <c r="C759" s="59" t="str">
        <f>Gia_Tbi!C10</f>
        <v>Cái</v>
      </c>
      <c r="D759" s="59">
        <f>Gia_Tbi!D10</f>
        <v>1</v>
      </c>
      <c r="E759" s="140">
        <f>Gia_Tbi!E10</f>
        <v>10</v>
      </c>
      <c r="F759" s="108">
        <f>Gia_Tbi!F10</f>
        <v>80000000</v>
      </c>
      <c r="G759" s="109">
        <f>Gia_Tbi!G10</f>
        <v>16000</v>
      </c>
      <c r="H759" s="197"/>
      <c r="I759" s="110">
        <f>I749</f>
        <v>191360.00000000003</v>
      </c>
      <c r="K759" s="99">
        <v>754</v>
      </c>
    </row>
    <row r="760" spans="1:11">
      <c r="A760" s="15" t="e">
        <f>#REF!</f>
        <v>#REF!</v>
      </c>
      <c r="B760" s="7" t="e">
        <f>#REF!</f>
        <v>#REF!</v>
      </c>
      <c r="C760" s="8"/>
      <c r="D760" s="8"/>
      <c r="E760" s="8"/>
      <c r="F760" s="104"/>
      <c r="G760" s="105"/>
      <c r="H760" s="196"/>
      <c r="I760" s="106"/>
      <c r="K760" s="99">
        <v>755</v>
      </c>
    </row>
    <row r="761" spans="1:11">
      <c r="A761" s="15" t="e">
        <f>#REF!</f>
        <v>#REF!</v>
      </c>
      <c r="B761" s="7" t="e">
        <f>#REF!</f>
        <v>#REF!</v>
      </c>
      <c r="C761" s="8"/>
      <c r="D761" s="8"/>
      <c r="E761" s="8"/>
      <c r="F761" s="104"/>
      <c r="G761" s="105"/>
      <c r="H761" s="196"/>
      <c r="I761" s="106">
        <f>I744</f>
        <v>1038</v>
      </c>
      <c r="K761" s="99">
        <v>756</v>
      </c>
    </row>
    <row r="762" spans="1:11">
      <c r="A762" s="57"/>
      <c r="B762" s="58" t="s">
        <v>8</v>
      </c>
      <c r="C762" s="59" t="str">
        <f>Gia_Tbi!C10</f>
        <v>Cái</v>
      </c>
      <c r="D762" s="59">
        <f>Gia_Tbi!D10</f>
        <v>1</v>
      </c>
      <c r="E762" s="140">
        <f>Gia_Tbi!E10</f>
        <v>10</v>
      </c>
      <c r="F762" s="108">
        <f>Gia_Tbi!F10</f>
        <v>80000000</v>
      </c>
      <c r="G762" s="109">
        <f>Gia_Tbi!G10</f>
        <v>16000</v>
      </c>
      <c r="H762" s="197"/>
      <c r="I762" s="110">
        <f>I745</f>
        <v>299904.00000000012</v>
      </c>
      <c r="K762" s="99">
        <v>757</v>
      </c>
    </row>
    <row r="763" spans="1:11">
      <c r="A763" s="15" t="e">
        <f>#REF!</f>
        <v>#REF!</v>
      </c>
      <c r="B763" s="7" t="e">
        <f>#REF!</f>
        <v>#REF!</v>
      </c>
      <c r="C763" s="8"/>
      <c r="D763" s="8"/>
      <c r="E763" s="8"/>
      <c r="F763" s="104"/>
      <c r="G763" s="105"/>
      <c r="H763" s="196"/>
      <c r="I763" s="106">
        <f>I746</f>
        <v>200</v>
      </c>
      <c r="K763" s="99">
        <v>758</v>
      </c>
    </row>
    <row r="764" spans="1:11">
      <c r="A764" s="57"/>
      <c r="B764" s="58" t="s">
        <v>8</v>
      </c>
      <c r="C764" s="59" t="str">
        <f>Gia_Tbi!C10</f>
        <v>Cái</v>
      </c>
      <c r="D764" s="59">
        <f>Gia_Tbi!D10</f>
        <v>1</v>
      </c>
      <c r="E764" s="140">
        <f>Gia_Tbi!E10</f>
        <v>10</v>
      </c>
      <c r="F764" s="108">
        <f>Gia_Tbi!F10</f>
        <v>80000000</v>
      </c>
      <c r="G764" s="109">
        <f>Gia_Tbi!G10</f>
        <v>16000</v>
      </c>
      <c r="H764" s="197"/>
      <c r="I764" s="110">
        <f>I747</f>
        <v>57088.000000000015</v>
      </c>
      <c r="K764" s="99">
        <v>759</v>
      </c>
    </row>
    <row r="765" spans="1:11">
      <c r="A765" s="15" t="e">
        <f>#REF!</f>
        <v>#REF!</v>
      </c>
      <c r="B765" s="7" t="e">
        <f>#REF!</f>
        <v>#REF!</v>
      </c>
      <c r="C765" s="8"/>
      <c r="D765" s="8"/>
      <c r="E765" s="8"/>
      <c r="F765" s="104"/>
      <c r="G765" s="105"/>
      <c r="H765" s="196"/>
      <c r="I765" s="106">
        <f>I750</f>
        <v>451</v>
      </c>
      <c r="K765" s="99">
        <v>760</v>
      </c>
    </row>
    <row r="766" spans="1:11">
      <c r="A766" s="57"/>
      <c r="B766" s="58" t="s">
        <v>8</v>
      </c>
      <c r="C766" s="59" t="str">
        <f>Gia_Tbi!C10</f>
        <v>Cái</v>
      </c>
      <c r="D766" s="59">
        <f>Gia_Tbi!D10</f>
        <v>1</v>
      </c>
      <c r="E766" s="140">
        <f>Gia_Tbi!E10</f>
        <v>10</v>
      </c>
      <c r="F766" s="108">
        <f>Gia_Tbi!F10</f>
        <v>80000000</v>
      </c>
      <c r="G766" s="109">
        <f>Gia_Tbi!G10</f>
        <v>16000</v>
      </c>
      <c r="H766" s="197"/>
      <c r="I766" s="110">
        <f>I751</f>
        <v>129408.00000000003</v>
      </c>
      <c r="K766" s="99">
        <v>761</v>
      </c>
    </row>
    <row r="767" spans="1:11">
      <c r="A767" s="83" t="e">
        <f>#REF!</f>
        <v>#REF!</v>
      </c>
      <c r="B767" s="84" t="e">
        <f>#REF!</f>
        <v>#REF!</v>
      </c>
      <c r="C767" s="24"/>
      <c r="D767" s="24"/>
      <c r="E767" s="24"/>
      <c r="F767" s="120"/>
      <c r="G767" s="121"/>
      <c r="H767" s="206"/>
      <c r="I767" s="102">
        <f>SUM(I768:I771)</f>
        <v>1206375</v>
      </c>
      <c r="K767" s="99">
        <v>762</v>
      </c>
    </row>
    <row r="768" spans="1:11">
      <c r="A768" s="15">
        <v>1</v>
      </c>
      <c r="B768" s="7" t="s">
        <v>73</v>
      </c>
      <c r="C768" s="8" t="str">
        <f>Gia_Tbi!C4</f>
        <v>cái</v>
      </c>
      <c r="D768" s="8">
        <f>Gia_Tbi!D4</f>
        <v>0.4</v>
      </c>
      <c r="E768" s="8">
        <f>Gia_Tbi!E4</f>
        <v>5</v>
      </c>
      <c r="F768" s="104">
        <f>Gia_Tbi!F4</f>
        <v>10000000</v>
      </c>
      <c r="G768" s="105">
        <f>Gia_Tbi!G4</f>
        <v>4000</v>
      </c>
      <c r="H768" s="203">
        <v>270</v>
      </c>
      <c r="I768" s="106">
        <f>G768*H768</f>
        <v>1080000</v>
      </c>
      <c r="K768" s="99">
        <v>763</v>
      </c>
    </row>
    <row r="769" spans="1:11">
      <c r="A769" s="15">
        <v>2</v>
      </c>
      <c r="B769" s="7" t="s">
        <v>74</v>
      </c>
      <c r="C769" s="8" t="str">
        <f>Gia_Tbi!C5</f>
        <v>cái</v>
      </c>
      <c r="D769" s="8">
        <f>Gia_Tbi!D5</f>
        <v>0.6</v>
      </c>
      <c r="E769" s="8">
        <f>Gia_Tbi!E5</f>
        <v>5</v>
      </c>
      <c r="F769" s="104">
        <f>Gia_Tbi!F5</f>
        <v>2500000</v>
      </c>
      <c r="G769" s="105">
        <f>Gia_Tbi!G5</f>
        <v>1000</v>
      </c>
      <c r="H769" s="203">
        <v>3.375</v>
      </c>
      <c r="I769" s="106">
        <f>G769*H769</f>
        <v>3375</v>
      </c>
      <c r="K769" s="99">
        <v>764</v>
      </c>
    </row>
    <row r="770" spans="1:11">
      <c r="A770" s="15">
        <v>3</v>
      </c>
      <c r="B770" s="7" t="s">
        <v>24</v>
      </c>
      <c r="C770" s="8" t="str">
        <f>Gia_Tbi!C6</f>
        <v>cái</v>
      </c>
      <c r="D770" s="8">
        <f>Gia_Tbi!D6</f>
        <v>2.2000000000000002</v>
      </c>
      <c r="E770" s="8">
        <f>Gia_Tbi!E6</f>
        <v>8</v>
      </c>
      <c r="F770" s="104">
        <f>Gia_Tbi!F6</f>
        <v>12000000</v>
      </c>
      <c r="G770" s="105">
        <f>Gia_Tbi!G6</f>
        <v>3000</v>
      </c>
      <c r="H770" s="203">
        <v>30</v>
      </c>
      <c r="I770" s="106">
        <f>G770*H770</f>
        <v>90000</v>
      </c>
      <c r="K770" s="99">
        <v>765</v>
      </c>
    </row>
    <row r="771" spans="1:11">
      <c r="A771" s="15">
        <v>4</v>
      </c>
      <c r="B771" s="7" t="s">
        <v>23</v>
      </c>
      <c r="C771" s="8" t="str">
        <f>Gia_Tbi!C7</f>
        <v>cái</v>
      </c>
      <c r="D771" s="8">
        <f>Gia_Tbi!D7</f>
        <v>1.5</v>
      </c>
      <c r="E771" s="8">
        <f>Gia_Tbi!E7</f>
        <v>8</v>
      </c>
      <c r="F771" s="104">
        <f>Gia_Tbi!F7</f>
        <v>44000000</v>
      </c>
      <c r="G771" s="105">
        <f>Gia_Tbi!G7</f>
        <v>11000</v>
      </c>
      <c r="H771" s="203">
        <v>3</v>
      </c>
      <c r="I771" s="106">
        <f>G771*H771</f>
        <v>33000</v>
      </c>
      <c r="K771" s="99">
        <v>766</v>
      </c>
    </row>
    <row r="772" spans="1:11">
      <c r="A772" s="57">
        <v>5</v>
      </c>
      <c r="B772" s="58" t="s">
        <v>8</v>
      </c>
      <c r="C772" s="59" t="str">
        <f>Gia_Tbi!C10</f>
        <v>Cái</v>
      </c>
      <c r="D772" s="59">
        <f>Gia_Tbi!D10</f>
        <v>1</v>
      </c>
      <c r="E772" s="140">
        <f>Gia_Tbi!E10</f>
        <v>10</v>
      </c>
      <c r="F772" s="108">
        <f>Gia_Tbi!F10</f>
        <v>80000000</v>
      </c>
      <c r="G772" s="109">
        <f>Gia_Tbi!G10</f>
        <v>16000</v>
      </c>
      <c r="H772" s="197">
        <f>(H768*D768+H769*D769+H770*D770+H771*D771)*8</f>
        <v>1444.2</v>
      </c>
      <c r="I772" s="144">
        <f>G772*H772*E772</f>
        <v>231072000</v>
      </c>
      <c r="K772" s="99">
        <v>767</v>
      </c>
    </row>
    <row r="773" spans="1:11" s="6" customFormat="1">
      <c r="A773" s="14" t="e">
        <f>#REF!</f>
        <v>#REF!</v>
      </c>
      <c r="B773" s="10" t="e">
        <f>#REF!</f>
        <v>#REF!</v>
      </c>
      <c r="C773" s="9"/>
      <c r="D773" s="9"/>
      <c r="E773" s="9"/>
      <c r="F773" s="115"/>
      <c r="G773" s="116"/>
      <c r="H773" s="199"/>
      <c r="I773" s="117"/>
      <c r="K773" s="99">
        <v>768</v>
      </c>
    </row>
    <row r="774" spans="1:11" s="103" customFormat="1">
      <c r="A774" s="44" t="e">
        <f>#REF!</f>
        <v>#REF!</v>
      </c>
      <c r="B774" s="45" t="e">
        <f>#REF!</f>
        <v>#REF!</v>
      </c>
      <c r="C774" s="20"/>
      <c r="D774" s="20"/>
      <c r="E774" s="20"/>
      <c r="F774" s="100"/>
      <c r="G774" s="101"/>
      <c r="H774" s="133"/>
      <c r="I774" s="102">
        <f>I776</f>
        <v>889</v>
      </c>
      <c r="K774" s="99">
        <v>769</v>
      </c>
    </row>
    <row r="775" spans="1:11">
      <c r="A775" s="15" t="e">
        <f>#REF!</f>
        <v>#REF!</v>
      </c>
      <c r="B775" s="7" t="e">
        <f>#REF!</f>
        <v>#REF!</v>
      </c>
      <c r="C775" s="8"/>
      <c r="D775" s="8"/>
      <c r="E775" s="8"/>
      <c r="F775" s="104"/>
      <c r="G775" s="105"/>
      <c r="H775" s="196"/>
      <c r="I775" s="106">
        <f>I776</f>
        <v>889</v>
      </c>
      <c r="K775" s="99">
        <v>770</v>
      </c>
    </row>
    <row r="776" spans="1:11">
      <c r="A776" s="15" t="e">
        <f>#REF!</f>
        <v>#REF!</v>
      </c>
      <c r="B776" s="7" t="e">
        <f>#REF!</f>
        <v>#REF!</v>
      </c>
      <c r="C776" s="8"/>
      <c r="D776" s="8"/>
      <c r="E776" s="8"/>
      <c r="F776" s="104"/>
      <c r="G776" s="105"/>
      <c r="H776" s="196"/>
      <c r="I776" s="102">
        <f>SUM(I777:I781)</f>
        <v>889</v>
      </c>
      <c r="K776" s="99">
        <v>771</v>
      </c>
    </row>
    <row r="777" spans="1:11">
      <c r="A777" s="15">
        <v>1</v>
      </c>
      <c r="B777" s="7" t="s">
        <v>73</v>
      </c>
      <c r="C777" s="8" t="str">
        <f>Gia_Tbi!C4</f>
        <v>cái</v>
      </c>
      <c r="D777" s="8">
        <f>Gia_Tbi!D4</f>
        <v>0.4</v>
      </c>
      <c r="E777" s="8">
        <f>Gia_Tbi!E4</f>
        <v>5</v>
      </c>
      <c r="F777" s="104">
        <f>Gia_Tbi!F4</f>
        <v>10000000</v>
      </c>
      <c r="G777" s="105">
        <f>Gia_Tbi!G4</f>
        <v>4000</v>
      </c>
      <c r="H777" s="203">
        <v>0.12</v>
      </c>
      <c r="I777" s="106">
        <f>G777*H777</f>
        <v>480</v>
      </c>
      <c r="K777" s="99">
        <v>772</v>
      </c>
    </row>
    <row r="778" spans="1:11">
      <c r="A778" s="15">
        <v>3</v>
      </c>
      <c r="B778" s="7" t="s">
        <v>74</v>
      </c>
      <c r="C778" s="8" t="str">
        <f>Gia_Tbi!C5</f>
        <v>cái</v>
      </c>
      <c r="D778" s="8">
        <f>Gia_Tbi!D5</f>
        <v>0.6</v>
      </c>
      <c r="E778" s="8">
        <f>Gia_Tbi!E5</f>
        <v>5</v>
      </c>
      <c r="F778" s="104">
        <f>Gia_Tbi!F5</f>
        <v>2500000</v>
      </c>
      <c r="G778" s="105">
        <f>Gia_Tbi!G5</f>
        <v>1000</v>
      </c>
      <c r="H778" s="203">
        <v>5.0000000000000001E-3</v>
      </c>
      <c r="I778" s="106">
        <f>G778*H778</f>
        <v>5</v>
      </c>
      <c r="K778" s="99">
        <v>773</v>
      </c>
    </row>
    <row r="779" spans="1:11">
      <c r="A779" s="15">
        <v>4</v>
      </c>
      <c r="B779" s="7" t="s">
        <v>89</v>
      </c>
      <c r="C779" s="8" t="str">
        <f>Gia_Tbi!C8</f>
        <v>cái</v>
      </c>
      <c r="D779" s="8">
        <f>Gia_Tbi!D8</f>
        <v>0.6</v>
      </c>
      <c r="E779" s="8">
        <f>Gia_Tbi!E8</f>
        <v>8</v>
      </c>
      <c r="F779" s="104">
        <f>Gia_Tbi!F8</f>
        <v>10000000</v>
      </c>
      <c r="G779" s="105">
        <f>Gia_Tbi!G8</f>
        <v>2500</v>
      </c>
      <c r="H779" s="203">
        <v>0.12</v>
      </c>
      <c r="I779" s="106">
        <f>G779*H779</f>
        <v>300</v>
      </c>
      <c r="K779" s="99">
        <v>774</v>
      </c>
    </row>
    <row r="780" spans="1:11">
      <c r="A780" s="15">
        <v>5</v>
      </c>
      <c r="B780" s="7" t="s">
        <v>24</v>
      </c>
      <c r="C780" s="8" t="str">
        <f>Gia_Tbi!C6</f>
        <v>cái</v>
      </c>
      <c r="D780" s="8">
        <f>Gia_Tbi!D6</f>
        <v>2.2000000000000002</v>
      </c>
      <c r="E780" s="8">
        <f>Gia_Tbi!E6</f>
        <v>8</v>
      </c>
      <c r="F780" s="104">
        <f>Gia_Tbi!F6</f>
        <v>12000000</v>
      </c>
      <c r="G780" s="105">
        <f>Gia_Tbi!G6</f>
        <v>3000</v>
      </c>
      <c r="H780" s="203">
        <v>0.02</v>
      </c>
      <c r="I780" s="106">
        <f>G780*H780</f>
        <v>60</v>
      </c>
      <c r="K780" s="99">
        <v>775</v>
      </c>
    </row>
    <row r="781" spans="1:11">
      <c r="A781" s="15">
        <v>6</v>
      </c>
      <c r="B781" s="7" t="s">
        <v>23</v>
      </c>
      <c r="C781" s="8" t="str">
        <f>Gia_Tbi!C7</f>
        <v>cái</v>
      </c>
      <c r="D781" s="8">
        <f>Gia_Tbi!D7</f>
        <v>1.5</v>
      </c>
      <c r="E781" s="8">
        <f>Gia_Tbi!E7</f>
        <v>8</v>
      </c>
      <c r="F781" s="104">
        <f>Gia_Tbi!F7</f>
        <v>44000000</v>
      </c>
      <c r="G781" s="105">
        <f>Gia_Tbi!G7</f>
        <v>11000</v>
      </c>
      <c r="H781" s="203">
        <v>4.0000000000000001E-3</v>
      </c>
      <c r="I781" s="106">
        <f>G781*H781</f>
        <v>44</v>
      </c>
      <c r="K781" s="99">
        <v>776</v>
      </c>
    </row>
    <row r="782" spans="1:11">
      <c r="A782" s="57">
        <v>7</v>
      </c>
      <c r="B782" s="58" t="s">
        <v>8</v>
      </c>
      <c r="C782" s="59" t="str">
        <f>Gia_Tbi!C10</f>
        <v>Cái</v>
      </c>
      <c r="D782" s="59">
        <f>Gia_Tbi!D10</f>
        <v>1</v>
      </c>
      <c r="E782" s="140">
        <f>Gia_Tbi!E10</f>
        <v>10</v>
      </c>
      <c r="F782" s="108">
        <f>Gia_Tbi!F10</f>
        <v>80000000</v>
      </c>
      <c r="G782" s="109">
        <f>Gia_Tbi!G10</f>
        <v>16000</v>
      </c>
      <c r="H782" s="197">
        <f>(H777*D777+H778*D778+H779*D779+H780*D780+H781*D781)*8</f>
        <v>1.3840000000000001</v>
      </c>
      <c r="I782" s="144">
        <f>G782*H782*E782</f>
        <v>221440.00000000003</v>
      </c>
      <c r="K782" s="99">
        <v>777</v>
      </c>
    </row>
    <row r="783" spans="1:11" s="103" customFormat="1">
      <c r="A783" s="44" t="e">
        <f>#REF!</f>
        <v>#REF!</v>
      </c>
      <c r="B783" s="45" t="e">
        <f>#REF!</f>
        <v>#REF!</v>
      </c>
      <c r="C783" s="20"/>
      <c r="D783" s="20"/>
      <c r="E783" s="20"/>
      <c r="F783" s="100"/>
      <c r="G783" s="101"/>
      <c r="H783" s="133"/>
      <c r="I783" s="102">
        <f>SUM(I784:I788)</f>
        <v>445</v>
      </c>
      <c r="K783" s="99">
        <v>778</v>
      </c>
    </row>
    <row r="784" spans="1:11">
      <c r="A784" s="15">
        <v>1</v>
      </c>
      <c r="B784" s="7" t="s">
        <v>73</v>
      </c>
      <c r="C784" s="8" t="str">
        <f>Gia_Tbi!C4</f>
        <v>cái</v>
      </c>
      <c r="D784" s="8">
        <f>Gia_Tbi!D4</f>
        <v>0.4</v>
      </c>
      <c r="E784" s="8">
        <f>Gia_Tbi!E4</f>
        <v>5</v>
      </c>
      <c r="F784" s="104">
        <f>Gia_Tbi!F4</f>
        <v>10000000</v>
      </c>
      <c r="G784" s="105">
        <f>Gia_Tbi!G4</f>
        <v>4000</v>
      </c>
      <c r="H784" s="203">
        <v>0.06</v>
      </c>
      <c r="I784" s="106">
        <f>G784*H784</f>
        <v>240</v>
      </c>
      <c r="K784" s="99">
        <v>779</v>
      </c>
    </row>
    <row r="785" spans="1:11">
      <c r="A785" s="15">
        <v>3</v>
      </c>
      <c r="B785" s="7" t="s">
        <v>74</v>
      </c>
      <c r="C785" s="8" t="str">
        <f>Gia_Tbi!C5</f>
        <v>cái</v>
      </c>
      <c r="D785" s="8">
        <f>Gia_Tbi!D5</f>
        <v>0.6</v>
      </c>
      <c r="E785" s="8">
        <f>Gia_Tbi!E5</f>
        <v>5</v>
      </c>
      <c r="F785" s="104">
        <f>Gia_Tbi!F5</f>
        <v>2500000</v>
      </c>
      <c r="G785" s="105">
        <f>Gia_Tbi!G5</f>
        <v>1000</v>
      </c>
      <c r="H785" s="203">
        <v>3.0000000000000001E-3</v>
      </c>
      <c r="I785" s="106">
        <f>G785*H785</f>
        <v>3</v>
      </c>
      <c r="K785" s="99">
        <v>780</v>
      </c>
    </row>
    <row r="786" spans="1:11">
      <c r="A786" s="15">
        <v>4</v>
      </c>
      <c r="B786" s="7" t="s">
        <v>89</v>
      </c>
      <c r="C786" s="8" t="str">
        <f>Gia_Tbi!C8</f>
        <v>cái</v>
      </c>
      <c r="D786" s="8">
        <f>Gia_Tbi!D8</f>
        <v>0.6</v>
      </c>
      <c r="E786" s="8">
        <f>Gia_Tbi!E8</f>
        <v>8</v>
      </c>
      <c r="F786" s="104">
        <f>Gia_Tbi!F8</f>
        <v>10000000</v>
      </c>
      <c r="G786" s="105">
        <f>Gia_Tbi!G8</f>
        <v>2500</v>
      </c>
      <c r="H786" s="203">
        <v>0.06</v>
      </c>
      <c r="I786" s="106">
        <f>G786*H786</f>
        <v>150</v>
      </c>
      <c r="K786" s="99">
        <v>781</v>
      </c>
    </row>
    <row r="787" spans="1:11">
      <c r="A787" s="15">
        <v>5</v>
      </c>
      <c r="B787" s="7" t="s">
        <v>24</v>
      </c>
      <c r="C787" s="8" t="str">
        <f>Gia_Tbi!C6</f>
        <v>cái</v>
      </c>
      <c r="D787" s="8">
        <f>Gia_Tbi!D6</f>
        <v>2.2000000000000002</v>
      </c>
      <c r="E787" s="8">
        <f>Gia_Tbi!E6</f>
        <v>8</v>
      </c>
      <c r="F787" s="104">
        <f>Gia_Tbi!F6</f>
        <v>12000000</v>
      </c>
      <c r="G787" s="105">
        <f>Gia_Tbi!G6</f>
        <v>3000</v>
      </c>
      <c r="H787" s="203">
        <v>0.01</v>
      </c>
      <c r="I787" s="106">
        <f>G787*H787</f>
        <v>30</v>
      </c>
      <c r="K787" s="99">
        <v>782</v>
      </c>
    </row>
    <row r="788" spans="1:11">
      <c r="A788" s="15">
        <v>6</v>
      </c>
      <c r="B788" s="7" t="s">
        <v>23</v>
      </c>
      <c r="C788" s="8" t="str">
        <f>Gia_Tbi!C7</f>
        <v>cái</v>
      </c>
      <c r="D788" s="8">
        <f>Gia_Tbi!D7</f>
        <v>1.5</v>
      </c>
      <c r="E788" s="8">
        <f>Gia_Tbi!E7</f>
        <v>8</v>
      </c>
      <c r="F788" s="104">
        <f>Gia_Tbi!F7</f>
        <v>44000000</v>
      </c>
      <c r="G788" s="105">
        <f>Gia_Tbi!G7</f>
        <v>11000</v>
      </c>
      <c r="H788" s="203">
        <v>2E-3</v>
      </c>
      <c r="I788" s="106">
        <f>G788*H788</f>
        <v>22</v>
      </c>
      <c r="K788" s="99">
        <v>783</v>
      </c>
    </row>
    <row r="789" spans="1:11">
      <c r="A789" s="57">
        <v>7</v>
      </c>
      <c r="B789" s="58" t="s">
        <v>8</v>
      </c>
      <c r="C789" s="59" t="str">
        <f>Gia_Tbi!C10</f>
        <v>Cái</v>
      </c>
      <c r="D789" s="59">
        <f>Gia_Tbi!D10</f>
        <v>1</v>
      </c>
      <c r="E789" s="140">
        <f>Gia_Tbi!E10</f>
        <v>10</v>
      </c>
      <c r="F789" s="108">
        <f>Gia_Tbi!F10</f>
        <v>80000000</v>
      </c>
      <c r="G789" s="109">
        <f>Gia_Tbi!G10</f>
        <v>16000</v>
      </c>
      <c r="H789" s="197">
        <f>(H784*D784+H785*D785+H786*D786+H787*D787+H788*D788)*8</f>
        <v>0.69440000000000002</v>
      </c>
      <c r="I789" s="144">
        <f>G789*H789*E789</f>
        <v>111104</v>
      </c>
      <c r="K789" s="99">
        <v>784</v>
      </c>
    </row>
    <row r="790" spans="1:11" s="103" customFormat="1">
      <c r="A790" s="44" t="e">
        <f>#REF!</f>
        <v>#REF!</v>
      </c>
      <c r="B790" s="45" t="e">
        <f>#REF!</f>
        <v>#REF!</v>
      </c>
      <c r="C790" s="20"/>
      <c r="D790" s="20"/>
      <c r="E790" s="20"/>
      <c r="F790" s="100"/>
      <c r="G790" s="101"/>
      <c r="H790" s="133"/>
      <c r="I790" s="102"/>
      <c r="K790" s="99">
        <v>785</v>
      </c>
    </row>
    <row r="791" spans="1:11">
      <c r="A791" s="57" t="e">
        <f>#REF!</f>
        <v>#REF!</v>
      </c>
      <c r="B791" s="58" t="e">
        <f>#REF!</f>
        <v>#REF!</v>
      </c>
      <c r="C791" s="59"/>
      <c r="D791" s="59"/>
      <c r="E791" s="59"/>
      <c r="F791" s="108"/>
      <c r="G791" s="109"/>
      <c r="H791" s="197"/>
      <c r="I791" s="110"/>
      <c r="K791" s="99">
        <v>786</v>
      </c>
    </row>
    <row r="792" spans="1:11" s="6" customFormat="1">
      <c r="A792" s="48" t="e">
        <f>#REF!</f>
        <v>#REF!</v>
      </c>
      <c r="B792" s="49" t="e">
        <f>#REF!</f>
        <v>#REF!</v>
      </c>
      <c r="C792" s="50"/>
      <c r="D792" s="50"/>
      <c r="E792" s="50"/>
      <c r="F792" s="111"/>
      <c r="G792" s="112"/>
      <c r="H792" s="198"/>
      <c r="I792" s="113"/>
      <c r="K792" s="99">
        <v>787</v>
      </c>
    </row>
    <row r="793" spans="1:11" s="103" customFormat="1">
      <c r="A793" s="44" t="e">
        <f>#REF!</f>
        <v>#REF!</v>
      </c>
      <c r="B793" s="45" t="e">
        <f>#REF!</f>
        <v>#REF!</v>
      </c>
      <c r="C793" s="20"/>
      <c r="D793" s="20"/>
      <c r="E793" s="20"/>
      <c r="F793" s="100"/>
      <c r="G793" s="101"/>
      <c r="H793" s="133"/>
      <c r="I793" s="102">
        <f>SUM(I794:I798)</f>
        <v>470197</v>
      </c>
      <c r="K793" s="99">
        <v>788</v>
      </c>
    </row>
    <row r="794" spans="1:11">
      <c r="A794" s="15">
        <v>1</v>
      </c>
      <c r="B794" s="7" t="s">
        <v>73</v>
      </c>
      <c r="C794" s="8" t="str">
        <f>Gia_Tbi!C4</f>
        <v>cái</v>
      </c>
      <c r="D794" s="8">
        <f>Gia_Tbi!D4</f>
        <v>0.4</v>
      </c>
      <c r="E794" s="8">
        <f>Gia_Tbi!E4</f>
        <v>5</v>
      </c>
      <c r="F794" s="104">
        <f>Gia_Tbi!F4</f>
        <v>10000000</v>
      </c>
      <c r="G794" s="105">
        <f>Gia_Tbi!G4</f>
        <v>4000</v>
      </c>
      <c r="H794" s="203">
        <v>105</v>
      </c>
      <c r="I794" s="106">
        <f>G794*H794</f>
        <v>420000</v>
      </c>
      <c r="K794" s="99">
        <v>789</v>
      </c>
    </row>
    <row r="795" spans="1:11">
      <c r="A795" s="15">
        <v>3</v>
      </c>
      <c r="B795" s="7" t="s">
        <v>74</v>
      </c>
      <c r="C795" s="8" t="str">
        <f>Gia_Tbi!C5</f>
        <v>cái</v>
      </c>
      <c r="D795" s="8">
        <f>Gia_Tbi!D5</f>
        <v>0.6</v>
      </c>
      <c r="E795" s="8">
        <f>Gia_Tbi!E5</f>
        <v>5</v>
      </c>
      <c r="F795" s="104">
        <f>Gia_Tbi!F5</f>
        <v>2500000</v>
      </c>
      <c r="G795" s="105">
        <f>Gia_Tbi!G5</f>
        <v>1000</v>
      </c>
      <c r="H795" s="203">
        <v>6</v>
      </c>
      <c r="I795" s="106">
        <f>G795*H795</f>
        <v>6000</v>
      </c>
      <c r="K795" s="99">
        <v>790</v>
      </c>
    </row>
    <row r="796" spans="1:11">
      <c r="A796" s="15">
        <v>4</v>
      </c>
      <c r="B796" s="7" t="s">
        <v>89</v>
      </c>
      <c r="C796" s="8" t="str">
        <f>Gia_Tbi!C8</f>
        <v>cái</v>
      </c>
      <c r="D796" s="8">
        <f>Gia_Tbi!D8</f>
        <v>0.6</v>
      </c>
      <c r="E796" s="8">
        <f>Gia_Tbi!E8</f>
        <v>8</v>
      </c>
      <c r="F796" s="104">
        <f>Gia_Tbi!F8</f>
        <v>10000000</v>
      </c>
      <c r="G796" s="105">
        <f>Gia_Tbi!G8</f>
        <v>2500</v>
      </c>
      <c r="H796" s="203">
        <v>11.67</v>
      </c>
      <c r="I796" s="106">
        <f>G796*H796</f>
        <v>29175</v>
      </c>
      <c r="K796" s="99">
        <v>791</v>
      </c>
    </row>
    <row r="797" spans="1:11">
      <c r="A797" s="15">
        <v>5</v>
      </c>
      <c r="B797" s="7" t="s">
        <v>24</v>
      </c>
      <c r="C797" s="8" t="str">
        <f>Gia_Tbi!C6</f>
        <v>cái</v>
      </c>
      <c r="D797" s="8">
        <f>Gia_Tbi!D6</f>
        <v>2.2000000000000002</v>
      </c>
      <c r="E797" s="8">
        <f>Gia_Tbi!E6</f>
        <v>8</v>
      </c>
      <c r="F797" s="104">
        <f>Gia_Tbi!F6</f>
        <v>12000000</v>
      </c>
      <c r="G797" s="105">
        <f>Gia_Tbi!G6</f>
        <v>3000</v>
      </c>
      <c r="H797" s="203">
        <v>5</v>
      </c>
      <c r="I797" s="106">
        <f>G797*H797</f>
        <v>15000</v>
      </c>
      <c r="K797" s="99">
        <v>792</v>
      </c>
    </row>
    <row r="798" spans="1:11">
      <c r="A798" s="15">
        <v>6</v>
      </c>
      <c r="B798" s="7" t="s">
        <v>23</v>
      </c>
      <c r="C798" s="8" t="str">
        <f>Gia_Tbi!C7</f>
        <v>cái</v>
      </c>
      <c r="D798" s="8">
        <f>Gia_Tbi!D7</f>
        <v>1.5</v>
      </c>
      <c r="E798" s="8">
        <f>Gia_Tbi!E7</f>
        <v>8</v>
      </c>
      <c r="F798" s="104">
        <f>Gia_Tbi!F7</f>
        <v>44000000</v>
      </c>
      <c r="G798" s="105">
        <f>Gia_Tbi!G7</f>
        <v>11000</v>
      </c>
      <c r="H798" s="203">
        <v>2E-3</v>
      </c>
      <c r="I798" s="106">
        <f>G798*H798</f>
        <v>22</v>
      </c>
      <c r="K798" s="99">
        <v>793</v>
      </c>
    </row>
    <row r="799" spans="1:11">
      <c r="A799" s="57">
        <v>7</v>
      </c>
      <c r="B799" s="58" t="s">
        <v>8</v>
      </c>
      <c r="C799" s="59" t="str">
        <f>Gia_Tbi!C10</f>
        <v>Cái</v>
      </c>
      <c r="D799" s="59">
        <f>Gia_Tbi!D10</f>
        <v>1</v>
      </c>
      <c r="E799" s="140">
        <f>Gia_Tbi!E10</f>
        <v>10</v>
      </c>
      <c r="F799" s="108">
        <f>Gia_Tbi!F10</f>
        <v>80000000</v>
      </c>
      <c r="G799" s="109">
        <f>Gia_Tbi!G10</f>
        <v>16000</v>
      </c>
      <c r="H799" s="197">
        <f>(H794*D794+H795*D795+H796*D796+H797*D797+H798*D798)*8</f>
        <v>508.84000000000003</v>
      </c>
      <c r="I799" s="144">
        <f>G799*H799*E799</f>
        <v>81414400.000000015</v>
      </c>
      <c r="K799" s="99">
        <v>794</v>
      </c>
    </row>
    <row r="800" spans="1:11" s="103" customFormat="1">
      <c r="A800" s="44" t="e">
        <f>#REF!</f>
        <v>#REF!</v>
      </c>
      <c r="B800" s="45" t="e">
        <f>#REF!</f>
        <v>#REF!</v>
      </c>
      <c r="C800" s="20"/>
      <c r="D800" s="20"/>
      <c r="E800" s="20"/>
      <c r="F800" s="100"/>
      <c r="G800" s="101"/>
      <c r="H800" s="133"/>
      <c r="I800" s="102">
        <f>SUM(I801:I805)</f>
        <v>7197</v>
      </c>
      <c r="K800" s="99">
        <v>795</v>
      </c>
    </row>
    <row r="801" spans="1:11">
      <c r="A801" s="15">
        <v>1</v>
      </c>
      <c r="B801" s="7" t="s">
        <v>73</v>
      </c>
      <c r="C801" s="8" t="str">
        <f>Gia_Tbi!C4</f>
        <v>cái</v>
      </c>
      <c r="D801" s="8">
        <f>Gia_Tbi!D4</f>
        <v>0.4</v>
      </c>
      <c r="E801" s="8">
        <f>Gia_Tbi!E4</f>
        <v>5</v>
      </c>
      <c r="F801" s="104">
        <f>Gia_Tbi!F4</f>
        <v>10000000</v>
      </c>
      <c r="G801" s="105">
        <f>Gia_Tbi!G4</f>
        <v>4000</v>
      </c>
      <c r="H801" s="203">
        <v>1.46</v>
      </c>
      <c r="I801" s="106">
        <f>G801*H801</f>
        <v>5840</v>
      </c>
      <c r="K801" s="99">
        <v>796</v>
      </c>
    </row>
    <row r="802" spans="1:11">
      <c r="A802" s="15">
        <v>3</v>
      </c>
      <c r="B802" s="7" t="s">
        <v>74</v>
      </c>
      <c r="C802" s="8" t="str">
        <f>Gia_Tbi!C5</f>
        <v>cái</v>
      </c>
      <c r="D802" s="8">
        <f>Gia_Tbi!D5</f>
        <v>0.6</v>
      </c>
      <c r="E802" s="8">
        <f>Gia_Tbi!E5</f>
        <v>5</v>
      </c>
      <c r="F802" s="104">
        <f>Gia_Tbi!F5</f>
        <v>2500000</v>
      </c>
      <c r="G802" s="105">
        <f>Gia_Tbi!G5</f>
        <v>1000</v>
      </c>
      <c r="H802" s="203">
        <v>0.02</v>
      </c>
      <c r="I802" s="106">
        <f>G802*H802</f>
        <v>20</v>
      </c>
      <c r="K802" s="99">
        <v>797</v>
      </c>
    </row>
    <row r="803" spans="1:11">
      <c r="A803" s="15">
        <v>4</v>
      </c>
      <c r="B803" s="7" t="s">
        <v>89</v>
      </c>
      <c r="C803" s="8" t="str">
        <f>Gia_Tbi!C8</f>
        <v>cái</v>
      </c>
      <c r="D803" s="8">
        <f>Gia_Tbi!D8</f>
        <v>0.6</v>
      </c>
      <c r="E803" s="8">
        <f>Gia_Tbi!E8</f>
        <v>8</v>
      </c>
      <c r="F803" s="104">
        <f>Gia_Tbi!F8</f>
        <v>10000000</v>
      </c>
      <c r="G803" s="105">
        <f>Gia_Tbi!G8</f>
        <v>2500</v>
      </c>
      <c r="H803" s="203">
        <v>0.49</v>
      </c>
      <c r="I803" s="106">
        <f>G803*H803</f>
        <v>1225</v>
      </c>
      <c r="K803" s="99">
        <v>798</v>
      </c>
    </row>
    <row r="804" spans="1:11">
      <c r="A804" s="15">
        <v>5</v>
      </c>
      <c r="B804" s="7" t="s">
        <v>24</v>
      </c>
      <c r="C804" s="8" t="str">
        <f>Gia_Tbi!C6</f>
        <v>cái</v>
      </c>
      <c r="D804" s="8">
        <f>Gia_Tbi!D6</f>
        <v>2.2000000000000002</v>
      </c>
      <c r="E804" s="8">
        <f>Gia_Tbi!E6</f>
        <v>8</v>
      </c>
      <c r="F804" s="104">
        <f>Gia_Tbi!F6</f>
        <v>12000000</v>
      </c>
      <c r="G804" s="105">
        <f>Gia_Tbi!G6</f>
        <v>3000</v>
      </c>
      <c r="H804" s="203">
        <v>0.03</v>
      </c>
      <c r="I804" s="106">
        <f>G804*H804</f>
        <v>90</v>
      </c>
      <c r="K804" s="99">
        <v>799</v>
      </c>
    </row>
    <row r="805" spans="1:11">
      <c r="A805" s="15">
        <v>6</v>
      </c>
      <c r="B805" s="7" t="s">
        <v>23</v>
      </c>
      <c r="C805" s="8" t="str">
        <f>Gia_Tbi!C7</f>
        <v>cái</v>
      </c>
      <c r="D805" s="8">
        <f>Gia_Tbi!D7</f>
        <v>1.5</v>
      </c>
      <c r="E805" s="8">
        <f>Gia_Tbi!E7</f>
        <v>8</v>
      </c>
      <c r="F805" s="104">
        <f>Gia_Tbi!F7</f>
        <v>44000000</v>
      </c>
      <c r="G805" s="105">
        <f>Gia_Tbi!G7</f>
        <v>11000</v>
      </c>
      <c r="H805" s="203">
        <v>2E-3</v>
      </c>
      <c r="I805" s="106">
        <f>G805*H805</f>
        <v>22</v>
      </c>
      <c r="K805" s="99">
        <v>800</v>
      </c>
    </row>
    <row r="806" spans="1:11">
      <c r="A806" s="57">
        <v>7</v>
      </c>
      <c r="B806" s="58" t="s">
        <v>8</v>
      </c>
      <c r="C806" s="59" t="str">
        <f>Gia_Tbi!C10</f>
        <v>Cái</v>
      </c>
      <c r="D806" s="59">
        <f>Gia_Tbi!D10</f>
        <v>1</v>
      </c>
      <c r="E806" s="140">
        <f>Gia_Tbi!E10</f>
        <v>10</v>
      </c>
      <c r="F806" s="108">
        <f>Gia_Tbi!F10</f>
        <v>80000000</v>
      </c>
      <c r="G806" s="109">
        <f>Gia_Tbi!G10</f>
        <v>16000</v>
      </c>
      <c r="H806" s="197">
        <f>(H801*D801+H802*D802+H803*D803+H804*D804+H805*D805)*8</f>
        <v>7.6719999999999997</v>
      </c>
      <c r="I806" s="144">
        <f>G806*H806*E806</f>
        <v>1227520</v>
      </c>
      <c r="K806" s="99">
        <v>801</v>
      </c>
    </row>
    <row r="807" spans="1:11" s="6" customFormat="1">
      <c r="A807" s="14" t="e">
        <f>#REF!</f>
        <v>#REF!</v>
      </c>
      <c r="B807" s="10" t="e">
        <f>#REF!</f>
        <v>#REF!</v>
      </c>
      <c r="C807" s="9"/>
      <c r="D807" s="9"/>
      <c r="E807" s="9"/>
      <c r="F807" s="115"/>
      <c r="G807" s="116"/>
      <c r="H807" s="199"/>
      <c r="I807" s="117"/>
      <c r="K807" s="99">
        <v>802</v>
      </c>
    </row>
    <row r="808" spans="1:11">
      <c r="A808" s="15" t="e">
        <f>#REF!</f>
        <v>#REF!</v>
      </c>
      <c r="B808" s="7" t="e">
        <f>#REF!</f>
        <v>#REF!</v>
      </c>
      <c r="C808" s="8"/>
      <c r="D808" s="8"/>
      <c r="E808" s="8"/>
      <c r="F808" s="104"/>
      <c r="G808" s="105"/>
      <c r="H808" s="196"/>
      <c r="I808" s="102">
        <f>SUM(I809:I812)</f>
        <v>316010</v>
      </c>
      <c r="K808" s="99">
        <v>803</v>
      </c>
    </row>
    <row r="809" spans="1:11">
      <c r="A809" s="15">
        <v>1</v>
      </c>
      <c r="B809" s="7" t="s">
        <v>73</v>
      </c>
      <c r="C809" s="8" t="str">
        <f>Gia_Tbi!C4</f>
        <v>cái</v>
      </c>
      <c r="D809" s="8">
        <f>Gia_Tbi!D4</f>
        <v>0.4</v>
      </c>
      <c r="E809" s="8">
        <f>Gia_Tbi!E4</f>
        <v>5</v>
      </c>
      <c r="F809" s="104">
        <f>Gia_Tbi!F4</f>
        <v>10000000</v>
      </c>
      <c r="G809" s="105">
        <f>Gia_Tbi!G4</f>
        <v>4000</v>
      </c>
      <c r="H809" s="203">
        <v>60</v>
      </c>
      <c r="I809" s="106">
        <f>G809*H809</f>
        <v>240000</v>
      </c>
      <c r="K809" s="99">
        <v>804</v>
      </c>
    </row>
    <row r="810" spans="1:11">
      <c r="A810" s="15">
        <v>2</v>
      </c>
      <c r="B810" s="7" t="s">
        <v>74</v>
      </c>
      <c r="C810" s="8" t="str">
        <f>Gia_Tbi!C5</f>
        <v>cái</v>
      </c>
      <c r="D810" s="8">
        <f>Gia_Tbi!D5</f>
        <v>0.6</v>
      </c>
      <c r="E810" s="8">
        <f>Gia_Tbi!E5</f>
        <v>5</v>
      </c>
      <c r="F810" s="104">
        <f>Gia_Tbi!F5</f>
        <v>2500000</v>
      </c>
      <c r="G810" s="105">
        <f>Gia_Tbi!G5</f>
        <v>1000</v>
      </c>
      <c r="H810" s="203">
        <v>12</v>
      </c>
      <c r="I810" s="106">
        <f>G810*H810</f>
        <v>12000</v>
      </c>
      <c r="K810" s="99">
        <v>805</v>
      </c>
    </row>
    <row r="811" spans="1:11">
      <c r="A811" s="15">
        <v>3</v>
      </c>
      <c r="B811" s="7" t="s">
        <v>24</v>
      </c>
      <c r="C811" s="8" t="str">
        <f>Gia_Tbi!C6</f>
        <v>cái</v>
      </c>
      <c r="D811" s="8">
        <f>Gia_Tbi!D6</f>
        <v>2.2000000000000002</v>
      </c>
      <c r="E811" s="8">
        <f>Gia_Tbi!E6</f>
        <v>8</v>
      </c>
      <c r="F811" s="104">
        <f>Gia_Tbi!F6</f>
        <v>12000000</v>
      </c>
      <c r="G811" s="105">
        <f>Gia_Tbi!G6</f>
        <v>3000</v>
      </c>
      <c r="H811" s="203">
        <v>6.67</v>
      </c>
      <c r="I811" s="106">
        <f>G811*H811</f>
        <v>20010</v>
      </c>
      <c r="K811" s="99">
        <v>806</v>
      </c>
    </row>
    <row r="812" spans="1:11">
      <c r="A812" s="15">
        <v>4</v>
      </c>
      <c r="B812" s="7" t="s">
        <v>23</v>
      </c>
      <c r="C812" s="8" t="str">
        <f>Gia_Tbi!C7</f>
        <v>cái</v>
      </c>
      <c r="D812" s="8">
        <f>Gia_Tbi!D7</f>
        <v>1.5</v>
      </c>
      <c r="E812" s="8">
        <f>Gia_Tbi!E7</f>
        <v>8</v>
      </c>
      <c r="F812" s="104">
        <f>Gia_Tbi!F7</f>
        <v>44000000</v>
      </c>
      <c r="G812" s="105">
        <f>Gia_Tbi!G7</f>
        <v>11000</v>
      </c>
      <c r="H812" s="203">
        <v>4</v>
      </c>
      <c r="I812" s="106">
        <f>G812*H812</f>
        <v>44000</v>
      </c>
      <c r="K812" s="99">
        <v>807</v>
      </c>
    </row>
    <row r="813" spans="1:11">
      <c r="A813" s="57">
        <v>5</v>
      </c>
      <c r="B813" s="58" t="s">
        <v>8</v>
      </c>
      <c r="C813" s="59" t="str">
        <f>Gia_Tbi!C10</f>
        <v>Cái</v>
      </c>
      <c r="D813" s="59">
        <f>Gia_Tbi!D10</f>
        <v>1</v>
      </c>
      <c r="E813" s="140">
        <f>Gia_Tbi!E10</f>
        <v>10</v>
      </c>
      <c r="F813" s="108">
        <f>Gia_Tbi!F10</f>
        <v>80000000</v>
      </c>
      <c r="G813" s="109">
        <f>Gia_Tbi!G10</f>
        <v>16000</v>
      </c>
      <c r="H813" s="197">
        <f>(H809*D809+H810*D810+H811*D811+H812*D812)*8</f>
        <v>414.99200000000002</v>
      </c>
      <c r="I813" s="144">
        <f>G813*H813*E813</f>
        <v>66398720</v>
      </c>
      <c r="K813" s="99">
        <v>808</v>
      </c>
    </row>
    <row r="814" spans="1:11" s="6" customFormat="1">
      <c r="A814" s="14" t="e">
        <f>#REF!</f>
        <v>#REF!</v>
      </c>
      <c r="B814" s="10" t="e">
        <f>#REF!</f>
        <v>#REF!</v>
      </c>
      <c r="C814" s="9"/>
      <c r="D814" s="9"/>
      <c r="E814" s="9"/>
      <c r="F814" s="115"/>
      <c r="G814" s="116"/>
      <c r="H814" s="199"/>
      <c r="I814" s="117"/>
      <c r="K814" s="99">
        <v>809</v>
      </c>
    </row>
    <row r="815" spans="1:11" s="103" customFormat="1">
      <c r="A815" s="44" t="e">
        <f>#REF!</f>
        <v>#REF!</v>
      </c>
      <c r="B815" s="45" t="e">
        <f>#REF!</f>
        <v>#REF!</v>
      </c>
      <c r="C815" s="20"/>
      <c r="D815" s="20"/>
      <c r="E815" s="20"/>
      <c r="F815" s="100"/>
      <c r="G815" s="101"/>
      <c r="H815" s="133"/>
      <c r="I815" s="102"/>
      <c r="K815" s="99">
        <v>810</v>
      </c>
    </row>
    <row r="816" spans="1:11" s="103" customFormat="1">
      <c r="A816" s="44" t="e">
        <f>#REF!</f>
        <v>#REF!</v>
      </c>
      <c r="B816" s="45" t="e">
        <f>#REF!</f>
        <v>#REF!</v>
      </c>
      <c r="C816" s="20"/>
      <c r="D816" s="20"/>
      <c r="E816" s="20"/>
      <c r="F816" s="100"/>
      <c r="G816" s="101"/>
      <c r="H816" s="133"/>
      <c r="I816" s="102"/>
      <c r="K816" s="99">
        <v>811</v>
      </c>
    </row>
    <row r="817" spans="1:11" s="6" customFormat="1">
      <c r="A817" s="14" t="e">
        <f>#REF!</f>
        <v>#REF!</v>
      </c>
      <c r="B817" s="10" t="e">
        <f>#REF!</f>
        <v>#REF!</v>
      </c>
      <c r="C817" s="9"/>
      <c r="D817" s="9"/>
      <c r="E817" s="9"/>
      <c r="F817" s="115"/>
      <c r="G817" s="116"/>
      <c r="H817" s="199"/>
      <c r="I817" s="117"/>
      <c r="K817" s="99">
        <v>812</v>
      </c>
    </row>
    <row r="818" spans="1:11" s="103" customFormat="1">
      <c r="A818" s="44" t="e">
        <f>#REF!</f>
        <v>#REF!</v>
      </c>
      <c r="B818" s="45" t="e">
        <f>#REF!</f>
        <v>#REF!</v>
      </c>
      <c r="C818" s="20"/>
      <c r="D818" s="20"/>
      <c r="E818" s="20"/>
      <c r="F818" s="100"/>
      <c r="G818" s="101"/>
      <c r="H818" s="133"/>
      <c r="I818" s="102">
        <f>I821</f>
        <v>81300</v>
      </c>
      <c r="K818" s="99">
        <v>813</v>
      </c>
    </row>
    <row r="819" spans="1:11">
      <c r="A819" s="15" t="e">
        <f>#REF!</f>
        <v>#REF!</v>
      </c>
      <c r="B819" s="7" t="e">
        <f>#REF!</f>
        <v>#REF!</v>
      </c>
      <c r="C819" s="8"/>
      <c r="D819" s="8"/>
      <c r="E819" s="8"/>
      <c r="F819" s="104"/>
      <c r="G819" s="105"/>
      <c r="H819" s="196"/>
      <c r="I819" s="106">
        <f>I821</f>
        <v>81300</v>
      </c>
      <c r="K819" s="99">
        <v>814</v>
      </c>
    </row>
    <row r="820" spans="1:11">
      <c r="A820" s="15" t="e">
        <f>#REF!</f>
        <v>#REF!</v>
      </c>
      <c r="B820" s="7" t="e">
        <f>#REF!</f>
        <v>#REF!</v>
      </c>
      <c r="C820" s="8"/>
      <c r="D820" s="8"/>
      <c r="E820" s="8"/>
      <c r="F820" s="104"/>
      <c r="G820" s="105"/>
      <c r="H820" s="196"/>
      <c r="I820" s="106">
        <f>I821</f>
        <v>81300</v>
      </c>
      <c r="K820" s="99">
        <v>815</v>
      </c>
    </row>
    <row r="821" spans="1:11">
      <c r="A821" s="15" t="e">
        <f>#REF!</f>
        <v>#REF!</v>
      </c>
      <c r="B821" s="7" t="e">
        <f>#REF!</f>
        <v>#REF!</v>
      </c>
      <c r="C821" s="8"/>
      <c r="D821" s="8"/>
      <c r="E821" s="8"/>
      <c r="F821" s="104"/>
      <c r="G821" s="105"/>
      <c r="H821" s="196"/>
      <c r="I821" s="102">
        <f>SUM(I822:I825)</f>
        <v>81300</v>
      </c>
      <c r="K821" s="99">
        <v>816</v>
      </c>
    </row>
    <row r="822" spans="1:11">
      <c r="A822" s="15">
        <v>1</v>
      </c>
      <c r="B822" s="7" t="s">
        <v>73</v>
      </c>
      <c r="C822" s="8" t="str">
        <f>Gia_Tbi!C4</f>
        <v>cái</v>
      </c>
      <c r="D822" s="8">
        <f>Gia_Tbi!D4</f>
        <v>0.4</v>
      </c>
      <c r="E822" s="8">
        <f>Gia_Tbi!E4</f>
        <v>5</v>
      </c>
      <c r="F822" s="104">
        <f>Gia_Tbi!F4</f>
        <v>10000000</v>
      </c>
      <c r="G822" s="105">
        <f>Gia_Tbi!G4</f>
        <v>4000</v>
      </c>
      <c r="H822" s="203">
        <v>15</v>
      </c>
      <c r="I822" s="106">
        <f>G822*H822</f>
        <v>60000</v>
      </c>
      <c r="K822" s="99">
        <v>817</v>
      </c>
    </row>
    <row r="823" spans="1:11">
      <c r="A823" s="15">
        <v>2</v>
      </c>
      <c r="B823" s="7" t="s">
        <v>74</v>
      </c>
      <c r="C823" s="8" t="str">
        <f>Gia_Tbi!C5</f>
        <v>cái</v>
      </c>
      <c r="D823" s="8">
        <f>Gia_Tbi!D5</f>
        <v>0.6</v>
      </c>
      <c r="E823" s="8">
        <f>Gia_Tbi!E5</f>
        <v>5</v>
      </c>
      <c r="F823" s="104">
        <f>Gia_Tbi!F5</f>
        <v>2500000</v>
      </c>
      <c r="G823" s="105">
        <f>Gia_Tbi!G5</f>
        <v>1000</v>
      </c>
      <c r="H823" s="203">
        <v>0.8</v>
      </c>
      <c r="I823" s="106">
        <f>G823*H823</f>
        <v>800</v>
      </c>
      <c r="K823" s="99">
        <v>818</v>
      </c>
    </row>
    <row r="824" spans="1:11">
      <c r="A824" s="15">
        <v>3</v>
      </c>
      <c r="B824" s="7" t="s">
        <v>24</v>
      </c>
      <c r="C824" s="8" t="str">
        <f>Gia_Tbi!C6</f>
        <v>cái</v>
      </c>
      <c r="D824" s="8">
        <f>Gia_Tbi!D6</f>
        <v>2.2000000000000002</v>
      </c>
      <c r="E824" s="8">
        <f>Gia_Tbi!E6</f>
        <v>8</v>
      </c>
      <c r="F824" s="104">
        <f>Gia_Tbi!F6</f>
        <v>12000000</v>
      </c>
      <c r="G824" s="105">
        <f>Gia_Tbi!G6</f>
        <v>3000</v>
      </c>
      <c r="H824" s="203">
        <v>5</v>
      </c>
      <c r="I824" s="106">
        <f>G824*H824</f>
        <v>15000</v>
      </c>
      <c r="K824" s="99">
        <v>819</v>
      </c>
    </row>
    <row r="825" spans="1:11">
      <c r="A825" s="15">
        <v>4</v>
      </c>
      <c r="B825" s="7" t="s">
        <v>23</v>
      </c>
      <c r="C825" s="8" t="str">
        <f>Gia_Tbi!C7</f>
        <v>cái</v>
      </c>
      <c r="D825" s="8">
        <f>Gia_Tbi!D7</f>
        <v>1.5</v>
      </c>
      <c r="E825" s="8">
        <f>Gia_Tbi!E7</f>
        <v>8</v>
      </c>
      <c r="F825" s="104">
        <f>Gia_Tbi!F7</f>
        <v>44000000</v>
      </c>
      <c r="G825" s="105">
        <f>Gia_Tbi!G7</f>
        <v>11000</v>
      </c>
      <c r="H825" s="203">
        <v>0.5</v>
      </c>
      <c r="I825" s="106">
        <f>G825*H825</f>
        <v>5500</v>
      </c>
      <c r="K825" s="99">
        <v>820</v>
      </c>
    </row>
    <row r="826" spans="1:11">
      <c r="A826" s="57">
        <v>5</v>
      </c>
      <c r="B826" s="58" t="s">
        <v>8</v>
      </c>
      <c r="C826" s="59" t="str">
        <f>Gia_Tbi!C10</f>
        <v>Cái</v>
      </c>
      <c r="D826" s="59">
        <f>Gia_Tbi!D10</f>
        <v>1</v>
      </c>
      <c r="E826" s="140">
        <f>Gia_Tbi!E10</f>
        <v>10</v>
      </c>
      <c r="F826" s="108">
        <f>Gia_Tbi!F10</f>
        <v>80000000</v>
      </c>
      <c r="G826" s="109">
        <f>Gia_Tbi!G10</f>
        <v>16000</v>
      </c>
      <c r="H826" s="197">
        <f>(H822*D822+H823*D823+H824*D824+H825*D825)*8</f>
        <v>145.84</v>
      </c>
      <c r="I826" s="144">
        <f>G826*H826*E826</f>
        <v>23334400</v>
      </c>
      <c r="K826" s="99">
        <v>821</v>
      </c>
    </row>
    <row r="827" spans="1:11" s="103" customFormat="1">
      <c r="A827" s="44" t="e">
        <f>#REF!</f>
        <v>#REF!</v>
      </c>
      <c r="B827" s="45" t="e">
        <f>#REF!</f>
        <v>#REF!</v>
      </c>
      <c r="C827" s="20"/>
      <c r="D827" s="20"/>
      <c r="E827" s="20"/>
      <c r="F827" s="100"/>
      <c r="G827" s="101"/>
      <c r="H827" s="133"/>
      <c r="I827" s="102">
        <f>SUM(I828:I831)</f>
        <v>53690</v>
      </c>
      <c r="K827" s="99">
        <v>822</v>
      </c>
    </row>
    <row r="828" spans="1:11">
      <c r="A828" s="15">
        <v>1</v>
      </c>
      <c r="B828" s="7" t="s">
        <v>73</v>
      </c>
      <c r="C828" s="8" t="str">
        <f>Gia_Tbi!C4</f>
        <v>cái</v>
      </c>
      <c r="D828" s="8">
        <f>Gia_Tbi!D4</f>
        <v>0.4</v>
      </c>
      <c r="E828" s="8">
        <f>Gia_Tbi!E4</f>
        <v>5</v>
      </c>
      <c r="F828" s="104">
        <f>Gia_Tbi!F4</f>
        <v>10000000</v>
      </c>
      <c r="G828" s="105">
        <f>Gia_Tbi!G4</f>
        <v>4000</v>
      </c>
      <c r="H828" s="203">
        <v>10</v>
      </c>
      <c r="I828" s="106">
        <f>G828*H828</f>
        <v>40000</v>
      </c>
      <c r="K828" s="99">
        <v>823</v>
      </c>
    </row>
    <row r="829" spans="1:11">
      <c r="A829" s="15">
        <v>2</v>
      </c>
      <c r="B829" s="7" t="s">
        <v>74</v>
      </c>
      <c r="C829" s="8" t="str">
        <f>Gia_Tbi!C5</f>
        <v>cái</v>
      </c>
      <c r="D829" s="8">
        <f>Gia_Tbi!D5</f>
        <v>0.6</v>
      </c>
      <c r="E829" s="8">
        <f>Gia_Tbi!E5</f>
        <v>5</v>
      </c>
      <c r="F829" s="104">
        <f>Gia_Tbi!F5</f>
        <v>2500000</v>
      </c>
      <c r="G829" s="105">
        <f>Gia_Tbi!G5</f>
        <v>1000</v>
      </c>
      <c r="H829" s="203">
        <v>0.4</v>
      </c>
      <c r="I829" s="106">
        <f>G829*H829</f>
        <v>400</v>
      </c>
      <c r="K829" s="99">
        <v>824</v>
      </c>
    </row>
    <row r="830" spans="1:11">
      <c r="A830" s="15">
        <v>3</v>
      </c>
      <c r="B830" s="7" t="s">
        <v>24</v>
      </c>
      <c r="C830" s="8" t="str">
        <f>Gia_Tbi!C6</f>
        <v>cái</v>
      </c>
      <c r="D830" s="8">
        <f>Gia_Tbi!D6</f>
        <v>2.2000000000000002</v>
      </c>
      <c r="E830" s="8">
        <f>Gia_Tbi!E6</f>
        <v>8</v>
      </c>
      <c r="F830" s="104">
        <f>Gia_Tbi!F6</f>
        <v>12000000</v>
      </c>
      <c r="G830" s="105">
        <f>Gia_Tbi!G6</f>
        <v>3000</v>
      </c>
      <c r="H830" s="203">
        <v>3.33</v>
      </c>
      <c r="I830" s="106">
        <f>G830*H830</f>
        <v>9990</v>
      </c>
      <c r="K830" s="99">
        <v>825</v>
      </c>
    </row>
    <row r="831" spans="1:11">
      <c r="A831" s="15">
        <v>4</v>
      </c>
      <c r="B831" s="7" t="s">
        <v>23</v>
      </c>
      <c r="C831" s="8" t="str">
        <f>Gia_Tbi!C7</f>
        <v>cái</v>
      </c>
      <c r="D831" s="8">
        <f>Gia_Tbi!D7</f>
        <v>1.5</v>
      </c>
      <c r="E831" s="8">
        <f>Gia_Tbi!E7</f>
        <v>8</v>
      </c>
      <c r="F831" s="104">
        <f>Gia_Tbi!F7</f>
        <v>44000000</v>
      </c>
      <c r="G831" s="105">
        <f>Gia_Tbi!G7</f>
        <v>11000</v>
      </c>
      <c r="H831" s="203">
        <v>0.3</v>
      </c>
      <c r="I831" s="106">
        <f>G831*H831</f>
        <v>3300</v>
      </c>
      <c r="K831" s="99">
        <v>826</v>
      </c>
    </row>
    <row r="832" spans="1:11">
      <c r="A832" s="57">
        <v>5</v>
      </c>
      <c r="B832" s="58" t="s">
        <v>8</v>
      </c>
      <c r="C832" s="59" t="str">
        <f>Gia_Tbi!C10</f>
        <v>Cái</v>
      </c>
      <c r="D832" s="59">
        <f>Gia_Tbi!D10</f>
        <v>1</v>
      </c>
      <c r="E832" s="140">
        <f>Gia_Tbi!E10</f>
        <v>10</v>
      </c>
      <c r="F832" s="108">
        <f>Gia_Tbi!F10</f>
        <v>80000000</v>
      </c>
      <c r="G832" s="109">
        <f>Gia_Tbi!G10</f>
        <v>16000</v>
      </c>
      <c r="H832" s="197">
        <f>(H828*D828+H829*D829+H830*D830+H831*D831)*8</f>
        <v>96.128</v>
      </c>
      <c r="I832" s="144">
        <f>G832*H832*E832</f>
        <v>15380480</v>
      </c>
      <c r="K832" s="99">
        <v>827</v>
      </c>
    </row>
    <row r="833" spans="1:11" s="103" customFormat="1">
      <c r="A833" s="44" t="e">
        <f>#REF!</f>
        <v>#REF!</v>
      </c>
      <c r="B833" s="45" t="e">
        <f>#REF!</f>
        <v>#REF!</v>
      </c>
      <c r="C833" s="20"/>
      <c r="D833" s="20"/>
      <c r="E833" s="20"/>
      <c r="F833" s="100"/>
      <c r="G833" s="101"/>
      <c r="H833" s="133"/>
      <c r="I833" s="102"/>
      <c r="K833" s="99">
        <v>828</v>
      </c>
    </row>
    <row r="834" spans="1:11">
      <c r="A834" s="15" t="e">
        <f>#REF!</f>
        <v>#REF!</v>
      </c>
      <c r="B834" s="7" t="e">
        <f>#REF!</f>
        <v>#REF!</v>
      </c>
      <c r="C834" s="8"/>
      <c r="D834" s="8"/>
      <c r="E834" s="8"/>
      <c r="F834" s="104"/>
      <c r="G834" s="105"/>
      <c r="H834" s="196"/>
      <c r="I834" s="102">
        <f>SUM(I835:I838)</f>
        <v>235850</v>
      </c>
      <c r="K834" s="99">
        <v>829</v>
      </c>
    </row>
    <row r="835" spans="1:11">
      <c r="A835" s="15">
        <v>1</v>
      </c>
      <c r="B835" s="7" t="s">
        <v>73</v>
      </c>
      <c r="C835" s="8" t="str">
        <f>Gia_Tbi!C4</f>
        <v>cái</v>
      </c>
      <c r="D835" s="8">
        <f>Gia_Tbi!D4</f>
        <v>0.4</v>
      </c>
      <c r="E835" s="8">
        <f>Gia_Tbi!E4</f>
        <v>5</v>
      </c>
      <c r="F835" s="104">
        <f>Gia_Tbi!F4</f>
        <v>10000000</v>
      </c>
      <c r="G835" s="105">
        <f>Gia_Tbi!G4</f>
        <v>4000</v>
      </c>
      <c r="H835" s="203">
        <v>45</v>
      </c>
      <c r="I835" s="106">
        <f>G835*H835</f>
        <v>180000</v>
      </c>
      <c r="K835" s="99">
        <v>830</v>
      </c>
    </row>
    <row r="836" spans="1:11">
      <c r="A836" s="15">
        <v>2</v>
      </c>
      <c r="B836" s="7" t="s">
        <v>74</v>
      </c>
      <c r="C836" s="8" t="str">
        <f>Gia_Tbi!C5</f>
        <v>cái</v>
      </c>
      <c r="D836" s="8">
        <f>Gia_Tbi!D5</f>
        <v>0.6</v>
      </c>
      <c r="E836" s="8">
        <f>Gia_Tbi!E5</f>
        <v>5</v>
      </c>
      <c r="F836" s="104">
        <f>Gia_Tbi!F5</f>
        <v>2500000</v>
      </c>
      <c r="G836" s="105">
        <f>Gia_Tbi!G5</f>
        <v>1000</v>
      </c>
      <c r="H836" s="203">
        <v>1.5</v>
      </c>
      <c r="I836" s="106">
        <f>G836*H836</f>
        <v>1500</v>
      </c>
      <c r="K836" s="99">
        <v>831</v>
      </c>
    </row>
    <row r="837" spans="1:11">
      <c r="A837" s="15">
        <v>3</v>
      </c>
      <c r="B837" s="7" t="s">
        <v>24</v>
      </c>
      <c r="C837" s="8" t="str">
        <f>Gia_Tbi!C6</f>
        <v>cái</v>
      </c>
      <c r="D837" s="8">
        <f>Gia_Tbi!D6</f>
        <v>2.2000000000000002</v>
      </c>
      <c r="E837" s="8">
        <f>Gia_Tbi!E6</f>
        <v>8</v>
      </c>
      <c r="F837" s="104">
        <f>Gia_Tbi!F6</f>
        <v>12000000</v>
      </c>
      <c r="G837" s="105">
        <f>Gia_Tbi!G6</f>
        <v>3000</v>
      </c>
      <c r="H837" s="203">
        <v>15</v>
      </c>
      <c r="I837" s="106">
        <f>G837*H837</f>
        <v>45000</v>
      </c>
      <c r="K837" s="99">
        <v>832</v>
      </c>
    </row>
    <row r="838" spans="1:11">
      <c r="A838" s="15">
        <v>4</v>
      </c>
      <c r="B838" s="7" t="s">
        <v>23</v>
      </c>
      <c r="C838" s="8" t="str">
        <f>Gia_Tbi!C7</f>
        <v>cái</v>
      </c>
      <c r="D838" s="8">
        <f>Gia_Tbi!D7</f>
        <v>1.5</v>
      </c>
      <c r="E838" s="8">
        <f>Gia_Tbi!E7</f>
        <v>8</v>
      </c>
      <c r="F838" s="104">
        <f>Gia_Tbi!F7</f>
        <v>44000000</v>
      </c>
      <c r="G838" s="105">
        <f>Gia_Tbi!G7</f>
        <v>11000</v>
      </c>
      <c r="H838" s="203">
        <v>0.85</v>
      </c>
      <c r="I838" s="106">
        <f>G838*H838</f>
        <v>9350</v>
      </c>
      <c r="K838" s="99">
        <v>833</v>
      </c>
    </row>
    <row r="839" spans="1:11">
      <c r="A839" s="57">
        <v>5</v>
      </c>
      <c r="B839" s="58" t="s">
        <v>8</v>
      </c>
      <c r="C839" s="59" t="str">
        <f>Gia_Tbi!C10</f>
        <v>Cái</v>
      </c>
      <c r="D839" s="59">
        <f>Gia_Tbi!D10</f>
        <v>1</v>
      </c>
      <c r="E839" s="140">
        <f>Gia_Tbi!E10</f>
        <v>10</v>
      </c>
      <c r="F839" s="108">
        <f>Gia_Tbi!F10</f>
        <v>80000000</v>
      </c>
      <c r="G839" s="109">
        <f>Gia_Tbi!G10</f>
        <v>16000</v>
      </c>
      <c r="H839" s="197">
        <f>(H835*D835+H836*D836+H837*D837+H838*D838)*8</f>
        <v>425.4</v>
      </c>
      <c r="I839" s="144">
        <f>G839*H839*E839</f>
        <v>68064000</v>
      </c>
      <c r="K839" s="99">
        <v>834</v>
      </c>
    </row>
    <row r="840" spans="1:11">
      <c r="A840" s="15" t="e">
        <f>#REF!</f>
        <v>#REF!</v>
      </c>
      <c r="B840" s="7" t="e">
        <f>#REF!</f>
        <v>#REF!</v>
      </c>
      <c r="C840" s="8"/>
      <c r="D840" s="8"/>
      <c r="E840" s="8"/>
      <c r="F840" s="104"/>
      <c r="G840" s="105"/>
      <c r="H840" s="196"/>
      <c r="I840" s="102">
        <f>SUM(I841:I844)</f>
        <v>3521</v>
      </c>
      <c r="K840" s="99">
        <v>835</v>
      </c>
    </row>
    <row r="841" spans="1:11">
      <c r="A841" s="15">
        <v>1</v>
      </c>
      <c r="B841" s="7" t="s">
        <v>73</v>
      </c>
      <c r="C841" s="8" t="str">
        <f>Gia_Tbi!C4</f>
        <v>cái</v>
      </c>
      <c r="D841" s="8">
        <f>Gia_Tbi!D4</f>
        <v>0.4</v>
      </c>
      <c r="E841" s="8">
        <f>Gia_Tbi!E4</f>
        <v>5</v>
      </c>
      <c r="F841" s="104">
        <f>Gia_Tbi!F4</f>
        <v>10000000</v>
      </c>
      <c r="G841" s="105">
        <f>Gia_Tbi!G4</f>
        <v>4000</v>
      </c>
      <c r="H841" s="203">
        <v>0.68</v>
      </c>
      <c r="I841" s="106">
        <f>G841*H841</f>
        <v>2720</v>
      </c>
      <c r="K841" s="99">
        <v>836</v>
      </c>
    </row>
    <row r="842" spans="1:11">
      <c r="A842" s="15">
        <v>2</v>
      </c>
      <c r="B842" s="7" t="s">
        <v>74</v>
      </c>
      <c r="C842" s="8" t="str">
        <f>Gia_Tbi!C5</f>
        <v>cái</v>
      </c>
      <c r="D842" s="8">
        <f>Gia_Tbi!D5</f>
        <v>0.6</v>
      </c>
      <c r="E842" s="8">
        <f>Gia_Tbi!E5</f>
        <v>5</v>
      </c>
      <c r="F842" s="104">
        <f>Gia_Tbi!F5</f>
        <v>2500000</v>
      </c>
      <c r="G842" s="105">
        <f>Gia_Tbi!G5</f>
        <v>1000</v>
      </c>
      <c r="H842" s="203">
        <v>0.01</v>
      </c>
      <c r="I842" s="106">
        <f>G842*H842</f>
        <v>10</v>
      </c>
      <c r="K842" s="99">
        <v>837</v>
      </c>
    </row>
    <row r="843" spans="1:11">
      <c r="A843" s="15">
        <v>3</v>
      </c>
      <c r="B843" s="7" t="s">
        <v>24</v>
      </c>
      <c r="C843" s="8" t="str">
        <f>Gia_Tbi!C6</f>
        <v>cái</v>
      </c>
      <c r="D843" s="8">
        <f>Gia_Tbi!D6</f>
        <v>2.2000000000000002</v>
      </c>
      <c r="E843" s="8">
        <f>Gia_Tbi!E6</f>
        <v>8</v>
      </c>
      <c r="F843" s="104">
        <f>Gia_Tbi!F6</f>
        <v>12000000</v>
      </c>
      <c r="G843" s="105">
        <f>Gia_Tbi!G6</f>
        <v>3000</v>
      </c>
      <c r="H843" s="203">
        <v>0.22700000000000001</v>
      </c>
      <c r="I843" s="106">
        <f>G843*H843</f>
        <v>681</v>
      </c>
      <c r="K843" s="99">
        <v>838</v>
      </c>
    </row>
    <row r="844" spans="1:11">
      <c r="A844" s="15">
        <v>4</v>
      </c>
      <c r="B844" s="7" t="s">
        <v>23</v>
      </c>
      <c r="C844" s="8" t="str">
        <f>Gia_Tbi!C7</f>
        <v>cái</v>
      </c>
      <c r="D844" s="8">
        <f>Gia_Tbi!D7</f>
        <v>1.5</v>
      </c>
      <c r="E844" s="8">
        <f>Gia_Tbi!E7</f>
        <v>8</v>
      </c>
      <c r="F844" s="104">
        <f>Gia_Tbi!F7</f>
        <v>44000000</v>
      </c>
      <c r="G844" s="105">
        <f>Gia_Tbi!G7</f>
        <v>11000</v>
      </c>
      <c r="H844" s="203">
        <v>0.01</v>
      </c>
      <c r="I844" s="106">
        <f>G844*H844</f>
        <v>110</v>
      </c>
      <c r="K844" s="99">
        <v>839</v>
      </c>
    </row>
    <row r="845" spans="1:11">
      <c r="A845" s="57">
        <v>5</v>
      </c>
      <c r="B845" s="58" t="s">
        <v>8</v>
      </c>
      <c r="C845" s="59" t="str">
        <f>Gia_Tbi!C10</f>
        <v>Cái</v>
      </c>
      <c r="D845" s="59">
        <f>Gia_Tbi!D10</f>
        <v>1</v>
      </c>
      <c r="E845" s="140">
        <f>Gia_Tbi!E10</f>
        <v>10</v>
      </c>
      <c r="F845" s="108">
        <f>Gia_Tbi!F10</f>
        <v>80000000</v>
      </c>
      <c r="G845" s="109">
        <f>Gia_Tbi!G10</f>
        <v>16000</v>
      </c>
      <c r="H845" s="197">
        <f>(H841*D841+H842*D842+H843*D843+H844*D844)*8</f>
        <v>6.3392000000000008</v>
      </c>
      <c r="I845" s="144">
        <f>G845*H845*E845</f>
        <v>1014272.0000000001</v>
      </c>
      <c r="K845" s="99">
        <v>840</v>
      </c>
    </row>
    <row r="846" spans="1:11" s="103" customFormat="1">
      <c r="A846" s="44" t="e">
        <f>#REF!</f>
        <v>#REF!</v>
      </c>
      <c r="B846" s="45" t="e">
        <f>#REF!</f>
        <v>#REF!</v>
      </c>
      <c r="C846" s="20"/>
      <c r="D846" s="20"/>
      <c r="E846" s="20"/>
      <c r="F846" s="100"/>
      <c r="G846" s="101"/>
      <c r="H846" s="133"/>
      <c r="I846" s="102"/>
      <c r="K846" s="99">
        <v>841</v>
      </c>
    </row>
    <row r="847" spans="1:11">
      <c r="A847" s="15" t="e">
        <f>#REF!</f>
        <v>#REF!</v>
      </c>
      <c r="B847" s="7" t="e">
        <f>#REF!</f>
        <v>#REF!</v>
      </c>
      <c r="C847" s="8"/>
      <c r="D847" s="8"/>
      <c r="E847" s="8"/>
      <c r="F847" s="104"/>
      <c r="G847" s="105"/>
      <c r="H847" s="196"/>
      <c r="I847" s="106"/>
      <c r="K847" s="99">
        <v>842</v>
      </c>
    </row>
    <row r="848" spans="1:11" s="11" customFormat="1">
      <c r="A848" s="29" t="e">
        <f>#REF!</f>
        <v>#REF!</v>
      </c>
      <c r="B848" s="2034" t="e">
        <f>#REF!</f>
        <v>#REF!</v>
      </c>
      <c r="C848" s="2035"/>
      <c r="D848" s="2035"/>
      <c r="E848" s="2035"/>
      <c r="F848" s="2035"/>
      <c r="G848" s="2035"/>
      <c r="H848" s="2035"/>
      <c r="I848" s="2036"/>
      <c r="K848" s="99">
        <v>843</v>
      </c>
    </row>
    <row r="849" spans="1:11" s="6" customFormat="1">
      <c r="A849" s="14" t="e">
        <f>#REF!</f>
        <v>#REF!</v>
      </c>
      <c r="B849" s="10" t="e">
        <f>#REF!</f>
        <v>#REF!</v>
      </c>
      <c r="C849" s="9"/>
      <c r="D849" s="9"/>
      <c r="E849" s="9"/>
      <c r="F849" s="115"/>
      <c r="G849" s="116"/>
      <c r="H849" s="199"/>
      <c r="I849" s="117"/>
      <c r="K849" s="99">
        <v>844</v>
      </c>
    </row>
    <row r="850" spans="1:11" s="6" customFormat="1">
      <c r="A850" s="14" t="e">
        <f>#REF!</f>
        <v>#REF!</v>
      </c>
      <c r="B850" s="10" t="e">
        <f>#REF!</f>
        <v>#REF!</v>
      </c>
      <c r="C850" s="9"/>
      <c r="D850" s="9"/>
      <c r="E850" s="9"/>
      <c r="F850" s="115"/>
      <c r="G850" s="116"/>
      <c r="H850" s="199"/>
      <c r="I850" s="102">
        <f>SUM(I851:I854)</f>
        <v>21370</v>
      </c>
      <c r="K850" s="99">
        <v>845</v>
      </c>
    </row>
    <row r="851" spans="1:11">
      <c r="A851" s="15">
        <v>1</v>
      </c>
      <c r="B851" s="7" t="s">
        <v>73</v>
      </c>
      <c r="C851" s="8" t="str">
        <f>Gia_Tbi!C4</f>
        <v>cái</v>
      </c>
      <c r="D851" s="8">
        <f>Gia_Tbi!D4</f>
        <v>0.4</v>
      </c>
      <c r="E851" s="8">
        <f>Gia_Tbi!E4</f>
        <v>5</v>
      </c>
      <c r="F851" s="104">
        <f>Gia_Tbi!F4</f>
        <v>10000000</v>
      </c>
      <c r="G851" s="105">
        <f>Gia_Tbi!G4</f>
        <v>4000</v>
      </c>
      <c r="H851" s="203">
        <v>4</v>
      </c>
      <c r="I851" s="106">
        <f>G851*H851</f>
        <v>16000</v>
      </c>
      <c r="K851" s="99">
        <v>846</v>
      </c>
    </row>
    <row r="852" spans="1:11">
      <c r="A852" s="15">
        <v>2</v>
      </c>
      <c r="B852" s="7" t="s">
        <v>74</v>
      </c>
      <c r="C852" s="8" t="str">
        <f>Gia_Tbi!C5</f>
        <v>cái</v>
      </c>
      <c r="D852" s="8">
        <f>Gia_Tbi!D5</f>
        <v>0.6</v>
      </c>
      <c r="E852" s="8">
        <f>Gia_Tbi!E5</f>
        <v>5</v>
      </c>
      <c r="F852" s="104">
        <f>Gia_Tbi!F5</f>
        <v>2500000</v>
      </c>
      <c r="G852" s="105">
        <f>Gia_Tbi!G5</f>
        <v>1000</v>
      </c>
      <c r="H852" s="203">
        <v>0.5</v>
      </c>
      <c r="I852" s="106">
        <f>G852*H852</f>
        <v>500</v>
      </c>
      <c r="K852" s="99">
        <v>847</v>
      </c>
    </row>
    <row r="853" spans="1:11">
      <c r="A853" s="15">
        <v>3</v>
      </c>
      <c r="B853" s="7" t="s">
        <v>24</v>
      </c>
      <c r="C853" s="8" t="str">
        <f>Gia_Tbi!C6</f>
        <v>cái</v>
      </c>
      <c r="D853" s="8">
        <f>Gia_Tbi!D6</f>
        <v>2.2000000000000002</v>
      </c>
      <c r="E853" s="8">
        <f>Gia_Tbi!E6</f>
        <v>8</v>
      </c>
      <c r="F853" s="104">
        <f>Gia_Tbi!F6</f>
        <v>12000000</v>
      </c>
      <c r="G853" s="105">
        <f>Gia_Tbi!G6</f>
        <v>3000</v>
      </c>
      <c r="H853" s="203">
        <v>1.33</v>
      </c>
      <c r="I853" s="106">
        <f>G853*H853</f>
        <v>3990</v>
      </c>
      <c r="K853" s="99">
        <v>848</v>
      </c>
    </row>
    <row r="854" spans="1:11">
      <c r="A854" s="15">
        <v>4</v>
      </c>
      <c r="B854" s="7" t="s">
        <v>23</v>
      </c>
      <c r="C854" s="8" t="str">
        <f>Gia_Tbi!C7</f>
        <v>cái</v>
      </c>
      <c r="D854" s="8">
        <f>Gia_Tbi!D7</f>
        <v>1.5</v>
      </c>
      <c r="E854" s="8">
        <f>Gia_Tbi!E7</f>
        <v>8</v>
      </c>
      <c r="F854" s="104">
        <f>Gia_Tbi!F7</f>
        <v>44000000</v>
      </c>
      <c r="G854" s="105">
        <f>Gia_Tbi!G7</f>
        <v>11000</v>
      </c>
      <c r="H854" s="203">
        <v>0.08</v>
      </c>
      <c r="I854" s="106">
        <f>G854*H854</f>
        <v>880</v>
      </c>
      <c r="K854" s="99">
        <v>849</v>
      </c>
    </row>
    <row r="855" spans="1:11">
      <c r="A855" s="57">
        <v>5</v>
      </c>
      <c r="B855" s="58" t="s">
        <v>8</v>
      </c>
      <c r="C855" s="59" t="str">
        <f>Gia_Tbi!C10</f>
        <v>Cái</v>
      </c>
      <c r="D855" s="59">
        <f>Gia_Tbi!D10</f>
        <v>1</v>
      </c>
      <c r="E855" s="140">
        <f>Gia_Tbi!E10</f>
        <v>10</v>
      </c>
      <c r="F855" s="108">
        <f>Gia_Tbi!F10</f>
        <v>80000000</v>
      </c>
      <c r="G855" s="109">
        <f>Gia_Tbi!G10</f>
        <v>16000</v>
      </c>
      <c r="H855" s="197">
        <f>(H851*D851+H852*D852+H853*D853+H854*D854)*8</f>
        <v>39.568000000000005</v>
      </c>
      <c r="I855" s="144">
        <f>G855*H855*E855</f>
        <v>6330880.0000000009</v>
      </c>
      <c r="K855" s="99">
        <v>850</v>
      </c>
    </row>
    <row r="856" spans="1:11" s="6" customFormat="1">
      <c r="A856" s="14" t="e">
        <f>#REF!</f>
        <v>#REF!</v>
      </c>
      <c r="B856" s="10" t="e">
        <f>#REF!</f>
        <v>#REF!</v>
      </c>
      <c r="C856" s="9"/>
      <c r="D856" s="9"/>
      <c r="E856" s="9"/>
      <c r="F856" s="115"/>
      <c r="G856" s="116"/>
      <c r="H856" s="199"/>
      <c r="I856" s="117"/>
      <c r="K856" s="99">
        <v>851</v>
      </c>
    </row>
    <row r="857" spans="1:11" s="103" customFormat="1">
      <c r="A857" s="44" t="e">
        <f>#REF!</f>
        <v>#REF!</v>
      </c>
      <c r="B857" s="45" t="e">
        <f>#REF!</f>
        <v>#REF!</v>
      </c>
      <c r="C857" s="20"/>
      <c r="D857" s="20"/>
      <c r="E857" s="20"/>
      <c r="F857" s="100"/>
      <c r="G857" s="101"/>
      <c r="H857" s="133"/>
      <c r="I857" s="102">
        <f>SUM(I858:I861)</f>
        <v>101980</v>
      </c>
      <c r="K857" s="99">
        <v>852</v>
      </c>
    </row>
    <row r="858" spans="1:11">
      <c r="A858" s="15">
        <v>1</v>
      </c>
      <c r="B858" s="7" t="s">
        <v>73</v>
      </c>
      <c r="C858" s="8" t="str">
        <f>Gia_Tbi!C4</f>
        <v>cái</v>
      </c>
      <c r="D858" s="8">
        <f>Gia_Tbi!D4</f>
        <v>0.4</v>
      </c>
      <c r="E858" s="8">
        <f>Gia_Tbi!E4</f>
        <v>5</v>
      </c>
      <c r="F858" s="104">
        <f>Gia_Tbi!F4</f>
        <v>10000000</v>
      </c>
      <c r="G858" s="105">
        <f>Gia_Tbi!G4</f>
        <v>4000</v>
      </c>
      <c r="H858" s="203">
        <v>20</v>
      </c>
      <c r="I858" s="106">
        <f>G858*H858</f>
        <v>80000</v>
      </c>
      <c r="K858" s="99">
        <v>853</v>
      </c>
    </row>
    <row r="859" spans="1:11">
      <c r="A859" s="15">
        <v>2</v>
      </c>
      <c r="B859" s="7" t="s">
        <v>74</v>
      </c>
      <c r="C859" s="8" t="str">
        <f>Gia_Tbi!C5</f>
        <v>cái</v>
      </c>
      <c r="D859" s="8">
        <f>Gia_Tbi!D5</f>
        <v>0.6</v>
      </c>
      <c r="E859" s="8">
        <f>Gia_Tbi!E5</f>
        <v>5</v>
      </c>
      <c r="F859" s="104">
        <f>Gia_Tbi!F5</f>
        <v>2500000</v>
      </c>
      <c r="G859" s="105">
        <f>Gia_Tbi!G5</f>
        <v>1000</v>
      </c>
      <c r="H859" s="203">
        <v>0.65</v>
      </c>
      <c r="I859" s="106">
        <f>G859*H859</f>
        <v>650</v>
      </c>
      <c r="K859" s="99">
        <v>854</v>
      </c>
    </row>
    <row r="860" spans="1:11">
      <c r="A860" s="15">
        <v>3</v>
      </c>
      <c r="B860" s="7" t="s">
        <v>24</v>
      </c>
      <c r="C860" s="8" t="str">
        <f>Gia_Tbi!C6</f>
        <v>cái</v>
      </c>
      <c r="D860" s="8">
        <f>Gia_Tbi!D6</f>
        <v>2.2000000000000002</v>
      </c>
      <c r="E860" s="8">
        <f>Gia_Tbi!E6</f>
        <v>8</v>
      </c>
      <c r="F860" s="104">
        <f>Gia_Tbi!F6</f>
        <v>12000000</v>
      </c>
      <c r="G860" s="105">
        <f>Gia_Tbi!G6</f>
        <v>3000</v>
      </c>
      <c r="H860" s="203">
        <v>6.67</v>
      </c>
      <c r="I860" s="106">
        <f>G860*H860</f>
        <v>20010</v>
      </c>
      <c r="K860" s="99">
        <v>855</v>
      </c>
    </row>
    <row r="861" spans="1:11">
      <c r="A861" s="15">
        <v>4</v>
      </c>
      <c r="B861" s="7" t="s">
        <v>23</v>
      </c>
      <c r="C861" s="8" t="str">
        <f>Gia_Tbi!C7</f>
        <v>cái</v>
      </c>
      <c r="D861" s="8">
        <f>Gia_Tbi!D7</f>
        <v>1.5</v>
      </c>
      <c r="E861" s="8">
        <f>Gia_Tbi!E7</f>
        <v>8</v>
      </c>
      <c r="F861" s="104">
        <f>Gia_Tbi!F7</f>
        <v>44000000</v>
      </c>
      <c r="G861" s="105">
        <f>Gia_Tbi!G7</f>
        <v>11000</v>
      </c>
      <c r="H861" s="203">
        <v>0.12</v>
      </c>
      <c r="I861" s="106">
        <f>G861*H861</f>
        <v>1320</v>
      </c>
      <c r="K861" s="99">
        <v>856</v>
      </c>
    </row>
    <row r="862" spans="1:11">
      <c r="A862" s="57">
        <v>5</v>
      </c>
      <c r="B862" s="58" t="s">
        <v>8</v>
      </c>
      <c r="C862" s="59" t="str">
        <f>Gia_Tbi!C10</f>
        <v>Cái</v>
      </c>
      <c r="D862" s="59">
        <f>Gia_Tbi!D10</f>
        <v>1</v>
      </c>
      <c r="E862" s="140">
        <f>Gia_Tbi!E10</f>
        <v>10</v>
      </c>
      <c r="F862" s="108">
        <f>Gia_Tbi!F10</f>
        <v>80000000</v>
      </c>
      <c r="G862" s="109">
        <f>Gia_Tbi!G10</f>
        <v>16000</v>
      </c>
      <c r="H862" s="197">
        <f>(H858*D858+H859*D859+H860*D860+H861*D861)*8</f>
        <v>185.952</v>
      </c>
      <c r="I862" s="144">
        <f>G862*H862*E862</f>
        <v>29752320</v>
      </c>
      <c r="K862" s="99">
        <v>857</v>
      </c>
    </row>
    <row r="863" spans="1:11" s="103" customFormat="1">
      <c r="A863" s="44" t="e">
        <f>#REF!</f>
        <v>#REF!</v>
      </c>
      <c r="B863" s="45" t="e">
        <f>#REF!</f>
        <v>#REF!</v>
      </c>
      <c r="C863" s="20"/>
      <c r="D863" s="20"/>
      <c r="E863" s="20"/>
      <c r="F863" s="100"/>
      <c r="G863" s="101"/>
      <c r="H863" s="133"/>
      <c r="I863" s="102">
        <f>SUM(I864:I867)</f>
        <v>15450</v>
      </c>
      <c r="K863" s="99">
        <v>858</v>
      </c>
    </row>
    <row r="864" spans="1:11">
      <c r="A864" s="15">
        <v>1</v>
      </c>
      <c r="B864" s="7" t="s">
        <v>73</v>
      </c>
      <c r="C864" s="8" t="str">
        <f>Gia_Tbi!C4</f>
        <v>cái</v>
      </c>
      <c r="D864" s="8">
        <f>Gia_Tbi!D4</f>
        <v>0.4</v>
      </c>
      <c r="E864" s="8">
        <f>Gia_Tbi!E4</f>
        <v>5</v>
      </c>
      <c r="F864" s="104">
        <f>Gia_Tbi!F4</f>
        <v>10000000</v>
      </c>
      <c r="G864" s="105">
        <f>Gia_Tbi!G4</f>
        <v>4000</v>
      </c>
      <c r="H864" s="203">
        <v>3</v>
      </c>
      <c r="I864" s="106">
        <f>G864*H864</f>
        <v>12000</v>
      </c>
      <c r="K864" s="99">
        <v>859</v>
      </c>
    </row>
    <row r="865" spans="1:11">
      <c r="A865" s="15">
        <v>2</v>
      </c>
      <c r="B865" s="7" t="s">
        <v>74</v>
      </c>
      <c r="C865" s="8" t="str">
        <f>Gia_Tbi!C5</f>
        <v>cái</v>
      </c>
      <c r="D865" s="8">
        <f>Gia_Tbi!D5</f>
        <v>0.6</v>
      </c>
      <c r="E865" s="8">
        <f>Gia_Tbi!E5</f>
        <v>5</v>
      </c>
      <c r="F865" s="104">
        <f>Gia_Tbi!F5</f>
        <v>2500000</v>
      </c>
      <c r="G865" s="105">
        <f>Gia_Tbi!G5</f>
        <v>1000</v>
      </c>
      <c r="H865" s="203">
        <v>0.12</v>
      </c>
      <c r="I865" s="106">
        <f>G865*H865</f>
        <v>120</v>
      </c>
      <c r="K865" s="99">
        <v>860</v>
      </c>
    </row>
    <row r="866" spans="1:11">
      <c r="A866" s="15">
        <v>3</v>
      </c>
      <c r="B866" s="7" t="s">
        <v>24</v>
      </c>
      <c r="C866" s="8" t="str">
        <f>Gia_Tbi!C6</f>
        <v>cái</v>
      </c>
      <c r="D866" s="8">
        <f>Gia_Tbi!D6</f>
        <v>2.2000000000000002</v>
      </c>
      <c r="E866" s="8">
        <f>Gia_Tbi!E6</f>
        <v>8</v>
      </c>
      <c r="F866" s="104">
        <f>Gia_Tbi!F6</f>
        <v>12000000</v>
      </c>
      <c r="G866" s="105">
        <f>Gia_Tbi!G6</f>
        <v>3000</v>
      </c>
      <c r="H866" s="203">
        <v>1</v>
      </c>
      <c r="I866" s="106">
        <f>G866*H866</f>
        <v>3000</v>
      </c>
      <c r="K866" s="99">
        <v>861</v>
      </c>
    </row>
    <row r="867" spans="1:11">
      <c r="A867" s="15">
        <v>4</v>
      </c>
      <c r="B867" s="7" t="s">
        <v>23</v>
      </c>
      <c r="C867" s="8" t="str">
        <f>Gia_Tbi!C7</f>
        <v>cái</v>
      </c>
      <c r="D867" s="8">
        <f>Gia_Tbi!D7</f>
        <v>1.5</v>
      </c>
      <c r="E867" s="8">
        <f>Gia_Tbi!E7</f>
        <v>8</v>
      </c>
      <c r="F867" s="104">
        <f>Gia_Tbi!F7</f>
        <v>44000000</v>
      </c>
      <c r="G867" s="105">
        <f>Gia_Tbi!G7</f>
        <v>11000</v>
      </c>
      <c r="H867" s="203">
        <v>0.03</v>
      </c>
      <c r="I867" s="106">
        <f>G867*H867</f>
        <v>330</v>
      </c>
      <c r="K867" s="99">
        <v>862</v>
      </c>
    </row>
    <row r="868" spans="1:11">
      <c r="A868" s="57">
        <v>5</v>
      </c>
      <c r="B868" s="58" t="s">
        <v>8</v>
      </c>
      <c r="C868" s="59" t="str">
        <f>Gia_Tbi!C10</f>
        <v>Cái</v>
      </c>
      <c r="D868" s="59">
        <f>Gia_Tbi!D10</f>
        <v>1</v>
      </c>
      <c r="E868" s="140">
        <f>Gia_Tbi!E10</f>
        <v>10</v>
      </c>
      <c r="F868" s="108">
        <f>Gia_Tbi!F10</f>
        <v>80000000</v>
      </c>
      <c r="G868" s="109">
        <f>Gia_Tbi!G10</f>
        <v>16000</v>
      </c>
      <c r="H868" s="197">
        <f>(H864*D864+H865*D865+H866*D866+H867*D867)*8</f>
        <v>28.136000000000003</v>
      </c>
      <c r="I868" s="144">
        <f>G868*H868*E868</f>
        <v>4501760.0000000009</v>
      </c>
      <c r="K868" s="99">
        <v>863</v>
      </c>
    </row>
    <row r="869" spans="1:11" s="103" customFormat="1">
      <c r="A869" s="44" t="e">
        <f>#REF!</f>
        <v>#REF!</v>
      </c>
      <c r="B869" s="45" t="e">
        <f>#REF!</f>
        <v>#REF!</v>
      </c>
      <c r="C869" s="20"/>
      <c r="D869" s="20"/>
      <c r="E869" s="20"/>
      <c r="F869" s="100"/>
      <c r="G869" s="101"/>
      <c r="H869" s="133"/>
      <c r="I869" s="102">
        <f>SUM(I870:I873)</f>
        <v>51430</v>
      </c>
      <c r="K869" s="99">
        <v>864</v>
      </c>
    </row>
    <row r="870" spans="1:11">
      <c r="A870" s="15">
        <v>1</v>
      </c>
      <c r="B870" s="7" t="s">
        <v>73</v>
      </c>
      <c r="C870" s="8" t="str">
        <f>Gia_Tbi!C4</f>
        <v>cái</v>
      </c>
      <c r="D870" s="8">
        <f>Gia_Tbi!D4</f>
        <v>0.4</v>
      </c>
      <c r="E870" s="8">
        <f>Gia_Tbi!E4</f>
        <v>5</v>
      </c>
      <c r="F870" s="104">
        <f>Gia_Tbi!F4</f>
        <v>10000000</v>
      </c>
      <c r="G870" s="105">
        <f>Gia_Tbi!G4</f>
        <v>4000</v>
      </c>
      <c r="H870" s="203">
        <v>10</v>
      </c>
      <c r="I870" s="106">
        <f>G870*H870</f>
        <v>40000</v>
      </c>
      <c r="K870" s="99">
        <v>865</v>
      </c>
    </row>
    <row r="871" spans="1:11">
      <c r="A871" s="15">
        <v>2</v>
      </c>
      <c r="B871" s="7" t="s">
        <v>74</v>
      </c>
      <c r="C871" s="8" t="str">
        <f>Gia_Tbi!C5</f>
        <v>cái</v>
      </c>
      <c r="D871" s="8">
        <f>Gia_Tbi!D5</f>
        <v>0.6</v>
      </c>
      <c r="E871" s="8">
        <f>Gia_Tbi!E5</f>
        <v>5</v>
      </c>
      <c r="F871" s="104">
        <f>Gia_Tbi!F5</f>
        <v>2500000</v>
      </c>
      <c r="G871" s="105">
        <f>Gia_Tbi!G5</f>
        <v>1000</v>
      </c>
      <c r="H871" s="203">
        <v>0.23</v>
      </c>
      <c r="I871" s="106">
        <f>G871*H871</f>
        <v>230</v>
      </c>
      <c r="K871" s="99">
        <v>866</v>
      </c>
    </row>
    <row r="872" spans="1:11">
      <c r="A872" s="15">
        <v>3</v>
      </c>
      <c r="B872" s="7" t="s">
        <v>24</v>
      </c>
      <c r="C872" s="8" t="str">
        <f>Gia_Tbi!C6</f>
        <v>cái</v>
      </c>
      <c r="D872" s="8">
        <f>Gia_Tbi!D6</f>
        <v>2.2000000000000002</v>
      </c>
      <c r="E872" s="8">
        <f>Gia_Tbi!E6</f>
        <v>8</v>
      </c>
      <c r="F872" s="104">
        <f>Gia_Tbi!F6</f>
        <v>12000000</v>
      </c>
      <c r="G872" s="105">
        <f>Gia_Tbi!G6</f>
        <v>3000</v>
      </c>
      <c r="H872" s="203">
        <v>3.33</v>
      </c>
      <c r="I872" s="106">
        <f>G872*H872</f>
        <v>9990</v>
      </c>
      <c r="K872" s="99">
        <v>867</v>
      </c>
    </row>
    <row r="873" spans="1:11">
      <c r="A873" s="15">
        <v>4</v>
      </c>
      <c r="B873" s="7" t="s">
        <v>23</v>
      </c>
      <c r="C873" s="8" t="str">
        <f>Gia_Tbi!C7</f>
        <v>cái</v>
      </c>
      <c r="D873" s="8">
        <f>Gia_Tbi!D7</f>
        <v>1.5</v>
      </c>
      <c r="E873" s="8">
        <f>Gia_Tbi!E7</f>
        <v>8</v>
      </c>
      <c r="F873" s="104">
        <f>Gia_Tbi!F7</f>
        <v>44000000</v>
      </c>
      <c r="G873" s="105">
        <f>Gia_Tbi!G7</f>
        <v>11000</v>
      </c>
      <c r="H873" s="203">
        <v>0.11</v>
      </c>
      <c r="I873" s="106">
        <f>G873*H873</f>
        <v>1210</v>
      </c>
      <c r="K873" s="99">
        <v>868</v>
      </c>
    </row>
    <row r="874" spans="1:11">
      <c r="A874" s="57">
        <v>5</v>
      </c>
      <c r="B874" s="58" t="s">
        <v>8</v>
      </c>
      <c r="C874" s="59" t="str">
        <f>Gia_Tbi!C10</f>
        <v>Cái</v>
      </c>
      <c r="D874" s="59">
        <f>Gia_Tbi!D10</f>
        <v>1</v>
      </c>
      <c r="E874" s="140">
        <f>Gia_Tbi!E10</f>
        <v>10</v>
      </c>
      <c r="F874" s="108">
        <f>Gia_Tbi!F10</f>
        <v>80000000</v>
      </c>
      <c r="G874" s="109">
        <f>Gia_Tbi!G10</f>
        <v>16000</v>
      </c>
      <c r="H874" s="197">
        <f>(H870*D870+H871*D871+H872*D872+H873*D873)*8</f>
        <v>93.031999999999996</v>
      </c>
      <c r="I874" s="144">
        <f>G874*H874*E874</f>
        <v>14885120</v>
      </c>
      <c r="K874" s="99">
        <v>869</v>
      </c>
    </row>
    <row r="875" spans="1:11" s="103" customFormat="1">
      <c r="A875" s="44" t="e">
        <f>#REF!</f>
        <v>#REF!</v>
      </c>
      <c r="B875" s="45" t="e">
        <f>#REF!</f>
        <v>#REF!</v>
      </c>
      <c r="C875" s="20"/>
      <c r="D875" s="20"/>
      <c r="E875" s="20"/>
      <c r="F875" s="100"/>
      <c r="G875" s="101"/>
      <c r="H875" s="133"/>
      <c r="I875" s="102">
        <f>SUM(I876:I879)</f>
        <v>51430</v>
      </c>
      <c r="K875" s="99">
        <v>870</v>
      </c>
    </row>
    <row r="876" spans="1:11">
      <c r="A876" s="15">
        <v>1</v>
      </c>
      <c r="B876" s="7" t="s">
        <v>73</v>
      </c>
      <c r="C876" s="8" t="str">
        <f>Gia_Tbi!C4</f>
        <v>cái</v>
      </c>
      <c r="D876" s="8">
        <f>Gia_Tbi!D4</f>
        <v>0.4</v>
      </c>
      <c r="E876" s="8">
        <f>Gia_Tbi!E4</f>
        <v>5</v>
      </c>
      <c r="F876" s="104">
        <f>Gia_Tbi!F4</f>
        <v>10000000</v>
      </c>
      <c r="G876" s="105">
        <f>Gia_Tbi!G4</f>
        <v>4000</v>
      </c>
      <c r="H876" s="203">
        <v>10</v>
      </c>
      <c r="I876" s="106">
        <f>G876*H876</f>
        <v>40000</v>
      </c>
      <c r="K876" s="99">
        <v>871</v>
      </c>
    </row>
    <row r="877" spans="1:11">
      <c r="A877" s="15">
        <v>2</v>
      </c>
      <c r="B877" s="7" t="s">
        <v>74</v>
      </c>
      <c r="C877" s="8" t="str">
        <f>Gia_Tbi!C5</f>
        <v>cái</v>
      </c>
      <c r="D877" s="8">
        <f>Gia_Tbi!D5</f>
        <v>0.6</v>
      </c>
      <c r="E877" s="8">
        <f>Gia_Tbi!E5</f>
        <v>5</v>
      </c>
      <c r="F877" s="104">
        <f>Gia_Tbi!F5</f>
        <v>2500000</v>
      </c>
      <c r="G877" s="105">
        <f>Gia_Tbi!G5</f>
        <v>1000</v>
      </c>
      <c r="H877" s="203">
        <v>0.23</v>
      </c>
      <c r="I877" s="106">
        <f>G877*H877</f>
        <v>230</v>
      </c>
      <c r="K877" s="99">
        <v>872</v>
      </c>
    </row>
    <row r="878" spans="1:11">
      <c r="A878" s="15">
        <v>3</v>
      </c>
      <c r="B878" s="7" t="s">
        <v>24</v>
      </c>
      <c r="C878" s="8" t="str">
        <f>Gia_Tbi!C6</f>
        <v>cái</v>
      </c>
      <c r="D878" s="8">
        <f>Gia_Tbi!D6</f>
        <v>2.2000000000000002</v>
      </c>
      <c r="E878" s="8">
        <f>Gia_Tbi!E6</f>
        <v>8</v>
      </c>
      <c r="F878" s="104">
        <f>Gia_Tbi!F6</f>
        <v>12000000</v>
      </c>
      <c r="G878" s="105">
        <f>Gia_Tbi!G6</f>
        <v>3000</v>
      </c>
      <c r="H878" s="203">
        <v>3.33</v>
      </c>
      <c r="I878" s="106">
        <f>G878*H878</f>
        <v>9990</v>
      </c>
      <c r="K878" s="99">
        <v>873</v>
      </c>
    </row>
    <row r="879" spans="1:11">
      <c r="A879" s="15">
        <v>4</v>
      </c>
      <c r="B879" s="7" t="s">
        <v>23</v>
      </c>
      <c r="C879" s="8" t="str">
        <f>Gia_Tbi!C7</f>
        <v>cái</v>
      </c>
      <c r="D879" s="8">
        <f>Gia_Tbi!D7</f>
        <v>1.5</v>
      </c>
      <c r="E879" s="8">
        <f>Gia_Tbi!E7</f>
        <v>8</v>
      </c>
      <c r="F879" s="104">
        <f>Gia_Tbi!F7</f>
        <v>44000000</v>
      </c>
      <c r="G879" s="105">
        <f>Gia_Tbi!G7</f>
        <v>11000</v>
      </c>
      <c r="H879" s="203">
        <v>0.11</v>
      </c>
      <c r="I879" s="106">
        <f>G879*H879</f>
        <v>1210</v>
      </c>
      <c r="K879" s="99">
        <v>874</v>
      </c>
    </row>
    <row r="880" spans="1:11">
      <c r="A880" s="57">
        <v>5</v>
      </c>
      <c r="B880" s="58" t="s">
        <v>8</v>
      </c>
      <c r="C880" s="59" t="str">
        <f>Gia_Tbi!C10</f>
        <v>Cái</v>
      </c>
      <c r="D880" s="59">
        <f>Gia_Tbi!D10</f>
        <v>1</v>
      </c>
      <c r="E880" s="140">
        <f>Gia_Tbi!E10</f>
        <v>10</v>
      </c>
      <c r="F880" s="108">
        <f>Gia_Tbi!F10</f>
        <v>80000000</v>
      </c>
      <c r="G880" s="109">
        <f>Gia_Tbi!G10</f>
        <v>16000</v>
      </c>
      <c r="H880" s="197">
        <f>(H876*D876+H877*D877+H878*D878+H879*D879)*8</f>
        <v>93.031999999999996</v>
      </c>
      <c r="I880" s="144">
        <f>G880*H880*E880</f>
        <v>14885120</v>
      </c>
      <c r="K880" s="99">
        <v>875</v>
      </c>
    </row>
    <row r="881" spans="1:11" s="103" customFormat="1">
      <c r="A881" s="44" t="e">
        <f>#REF!</f>
        <v>#REF!</v>
      </c>
      <c r="B881" s="45" t="e">
        <f>#REF!</f>
        <v>#REF!</v>
      </c>
      <c r="C881" s="20"/>
      <c r="D881" s="20"/>
      <c r="E881" s="20"/>
      <c r="F881" s="100"/>
      <c r="G881" s="101"/>
      <c r="H881" s="133"/>
      <c r="I881" s="102">
        <f>SUM(I882:I885)</f>
        <v>25510</v>
      </c>
      <c r="K881" s="99">
        <v>876</v>
      </c>
    </row>
    <row r="882" spans="1:11">
      <c r="A882" s="15">
        <v>1</v>
      </c>
      <c r="B882" s="7" t="s">
        <v>73</v>
      </c>
      <c r="C882" s="8" t="str">
        <f>Gia_Tbi!C4</f>
        <v>cái</v>
      </c>
      <c r="D882" s="8">
        <f>Gia_Tbi!D4</f>
        <v>0.4</v>
      </c>
      <c r="E882" s="8">
        <f>Gia_Tbi!E4</f>
        <v>5</v>
      </c>
      <c r="F882" s="104">
        <f>Gia_Tbi!F4</f>
        <v>10000000</v>
      </c>
      <c r="G882" s="105">
        <f>Gia_Tbi!G4</f>
        <v>4000</v>
      </c>
      <c r="H882" s="203">
        <v>5</v>
      </c>
      <c r="I882" s="106">
        <f>G882*H882</f>
        <v>20000</v>
      </c>
      <c r="K882" s="99">
        <v>877</v>
      </c>
    </row>
    <row r="883" spans="1:11">
      <c r="A883" s="15">
        <v>2</v>
      </c>
      <c r="B883" s="7" t="s">
        <v>74</v>
      </c>
      <c r="C883" s="8" t="str">
        <f>Gia_Tbi!C5</f>
        <v>cái</v>
      </c>
      <c r="D883" s="8">
        <f>Gia_Tbi!D5</f>
        <v>0.6</v>
      </c>
      <c r="E883" s="8">
        <f>Gia_Tbi!E5</f>
        <v>5</v>
      </c>
      <c r="F883" s="104">
        <f>Gia_Tbi!F5</f>
        <v>2500000</v>
      </c>
      <c r="G883" s="105">
        <f>Gia_Tbi!G5</f>
        <v>1000</v>
      </c>
      <c r="H883" s="203">
        <v>0.06</v>
      </c>
      <c r="I883" s="106">
        <f>G883*H883</f>
        <v>60</v>
      </c>
      <c r="K883" s="99">
        <v>878</v>
      </c>
    </row>
    <row r="884" spans="1:11">
      <c r="A884" s="15">
        <v>3</v>
      </c>
      <c r="B884" s="7" t="s">
        <v>24</v>
      </c>
      <c r="C884" s="8" t="str">
        <f>Gia_Tbi!C6</f>
        <v>cái</v>
      </c>
      <c r="D884" s="8">
        <f>Gia_Tbi!D6</f>
        <v>2.2000000000000002</v>
      </c>
      <c r="E884" s="8">
        <f>Gia_Tbi!E6</f>
        <v>8</v>
      </c>
      <c r="F884" s="104">
        <f>Gia_Tbi!F6</f>
        <v>12000000</v>
      </c>
      <c r="G884" s="105">
        <f>Gia_Tbi!G6</f>
        <v>3000</v>
      </c>
      <c r="H884" s="203">
        <v>1.67</v>
      </c>
      <c r="I884" s="106">
        <f>G884*H884</f>
        <v>5010</v>
      </c>
      <c r="K884" s="99">
        <v>879</v>
      </c>
    </row>
    <row r="885" spans="1:11">
      <c r="A885" s="15">
        <v>4</v>
      </c>
      <c r="B885" s="7" t="s">
        <v>23</v>
      </c>
      <c r="C885" s="8" t="str">
        <f>Gia_Tbi!C7</f>
        <v>cái</v>
      </c>
      <c r="D885" s="8">
        <f>Gia_Tbi!D7</f>
        <v>1.5</v>
      </c>
      <c r="E885" s="8">
        <f>Gia_Tbi!E7</f>
        <v>8</v>
      </c>
      <c r="F885" s="104">
        <f>Gia_Tbi!F7</f>
        <v>44000000</v>
      </c>
      <c r="G885" s="105">
        <f>Gia_Tbi!G7</f>
        <v>11000</v>
      </c>
      <c r="H885" s="203">
        <v>0.04</v>
      </c>
      <c r="I885" s="106">
        <f>G885*H885</f>
        <v>440</v>
      </c>
      <c r="K885" s="99">
        <v>880</v>
      </c>
    </row>
    <row r="886" spans="1:11">
      <c r="A886" s="57">
        <v>5</v>
      </c>
      <c r="B886" s="58" t="s">
        <v>8</v>
      </c>
      <c r="C886" s="59" t="str">
        <f>Gia_Tbi!C10</f>
        <v>Cái</v>
      </c>
      <c r="D886" s="59">
        <f>Gia_Tbi!D10</f>
        <v>1</v>
      </c>
      <c r="E886" s="140">
        <f>Gia_Tbi!E10</f>
        <v>10</v>
      </c>
      <c r="F886" s="108">
        <f>Gia_Tbi!F10</f>
        <v>80000000</v>
      </c>
      <c r="G886" s="109">
        <f>Gia_Tbi!G10</f>
        <v>16000</v>
      </c>
      <c r="H886" s="197">
        <f>(H882*D882+H883*D883+H884*D884+H885*D885)*8</f>
        <v>46.16</v>
      </c>
      <c r="I886" s="144">
        <f>G886*H886*E886</f>
        <v>7385600</v>
      </c>
      <c r="K886" s="99">
        <v>881</v>
      </c>
    </row>
    <row r="887" spans="1:11" s="103" customFormat="1">
      <c r="A887" s="44" t="e">
        <f>#REF!</f>
        <v>#REF!</v>
      </c>
      <c r="B887" s="45" t="e">
        <f>#REF!</f>
        <v>#REF!</v>
      </c>
      <c r="C887" s="20"/>
      <c r="D887" s="20"/>
      <c r="E887" s="20"/>
      <c r="F887" s="100"/>
      <c r="G887" s="101"/>
      <c r="H887" s="133"/>
      <c r="I887" s="102">
        <f>SUM(I888:I891)</f>
        <v>20370</v>
      </c>
      <c r="K887" s="99">
        <v>882</v>
      </c>
    </row>
    <row r="888" spans="1:11">
      <c r="A888" s="15">
        <v>1</v>
      </c>
      <c r="B888" s="7" t="s">
        <v>73</v>
      </c>
      <c r="C888" s="8" t="str">
        <f>Gia_Tbi!C4</f>
        <v>cái</v>
      </c>
      <c r="D888" s="8">
        <f>Gia_Tbi!D4</f>
        <v>0.4</v>
      </c>
      <c r="E888" s="8">
        <f>Gia_Tbi!E4</f>
        <v>5</v>
      </c>
      <c r="F888" s="104">
        <f>Gia_Tbi!F4</f>
        <v>10000000</v>
      </c>
      <c r="G888" s="105">
        <f>Gia_Tbi!G4</f>
        <v>4000</v>
      </c>
      <c r="H888" s="203">
        <v>4</v>
      </c>
      <c r="I888" s="106">
        <f>G888*H888</f>
        <v>16000</v>
      </c>
      <c r="K888" s="99">
        <v>883</v>
      </c>
    </row>
    <row r="889" spans="1:11">
      <c r="A889" s="15">
        <v>2</v>
      </c>
      <c r="B889" s="7" t="s">
        <v>74</v>
      </c>
      <c r="C889" s="8" t="str">
        <f>Gia_Tbi!C5</f>
        <v>cái</v>
      </c>
      <c r="D889" s="8">
        <f>Gia_Tbi!D5</f>
        <v>0.6</v>
      </c>
      <c r="E889" s="8">
        <f>Gia_Tbi!E5</f>
        <v>5</v>
      </c>
      <c r="F889" s="104">
        <f>Gia_Tbi!F5</f>
        <v>2500000</v>
      </c>
      <c r="G889" s="105">
        <f>Gia_Tbi!G5</f>
        <v>1000</v>
      </c>
      <c r="H889" s="203">
        <v>0.05</v>
      </c>
      <c r="I889" s="106">
        <f>G889*H889</f>
        <v>50</v>
      </c>
      <c r="K889" s="99">
        <v>884</v>
      </c>
    </row>
    <row r="890" spans="1:11">
      <c r="A890" s="15">
        <v>3</v>
      </c>
      <c r="B890" s="7" t="s">
        <v>24</v>
      </c>
      <c r="C890" s="8" t="str">
        <f>Gia_Tbi!C6</f>
        <v>cái</v>
      </c>
      <c r="D890" s="8">
        <f>Gia_Tbi!D6</f>
        <v>2.2000000000000002</v>
      </c>
      <c r="E890" s="8">
        <f>Gia_Tbi!E6</f>
        <v>8</v>
      </c>
      <c r="F890" s="104">
        <f>Gia_Tbi!F6</f>
        <v>12000000</v>
      </c>
      <c r="G890" s="105">
        <f>Gia_Tbi!G6</f>
        <v>3000</v>
      </c>
      <c r="H890" s="203">
        <v>1.33</v>
      </c>
      <c r="I890" s="106">
        <f>G890*H890</f>
        <v>3990</v>
      </c>
      <c r="K890" s="99">
        <v>885</v>
      </c>
    </row>
    <row r="891" spans="1:11">
      <c r="A891" s="15">
        <v>4</v>
      </c>
      <c r="B891" s="7" t="s">
        <v>23</v>
      </c>
      <c r="C891" s="8" t="str">
        <f>Gia_Tbi!C7</f>
        <v>cái</v>
      </c>
      <c r="D891" s="8">
        <f>Gia_Tbi!D7</f>
        <v>1.5</v>
      </c>
      <c r="E891" s="8">
        <f>Gia_Tbi!E7</f>
        <v>8</v>
      </c>
      <c r="F891" s="104">
        <f>Gia_Tbi!F7</f>
        <v>44000000</v>
      </c>
      <c r="G891" s="105">
        <f>Gia_Tbi!G7</f>
        <v>11000</v>
      </c>
      <c r="H891" s="203">
        <v>0.03</v>
      </c>
      <c r="I891" s="106">
        <f>G891*H891</f>
        <v>330</v>
      </c>
      <c r="K891" s="99">
        <v>886</v>
      </c>
    </row>
    <row r="892" spans="1:11">
      <c r="A892" s="57">
        <v>5</v>
      </c>
      <c r="B892" s="58" t="s">
        <v>8</v>
      </c>
      <c r="C892" s="59" t="str">
        <f>Gia_Tbi!C10</f>
        <v>Cái</v>
      </c>
      <c r="D892" s="59">
        <f>Gia_Tbi!D10</f>
        <v>1</v>
      </c>
      <c r="E892" s="140">
        <f>Gia_Tbi!E10</f>
        <v>10</v>
      </c>
      <c r="F892" s="108">
        <f>Gia_Tbi!F10</f>
        <v>80000000</v>
      </c>
      <c r="G892" s="109">
        <f>Gia_Tbi!G10</f>
        <v>16000</v>
      </c>
      <c r="H892" s="197">
        <f>(H888*D888+H889*D889+H890*D890+H891*D891)*8</f>
        <v>36.808000000000007</v>
      </c>
      <c r="I892" s="144">
        <f>G892*H892*E892</f>
        <v>5889280.0000000009</v>
      </c>
      <c r="K892" s="99">
        <v>887</v>
      </c>
    </row>
    <row r="893" spans="1:11" s="6" customFormat="1">
      <c r="A893" s="14" t="e">
        <f>#REF!</f>
        <v>#REF!</v>
      </c>
      <c r="B893" s="10" t="e">
        <f>#REF!</f>
        <v>#REF!</v>
      </c>
      <c r="C893" s="9"/>
      <c r="D893" s="9"/>
      <c r="E893" s="9"/>
      <c r="F893" s="115"/>
      <c r="G893" s="116"/>
      <c r="H893" s="199"/>
      <c r="I893" s="117"/>
      <c r="K893" s="99">
        <v>888</v>
      </c>
    </row>
    <row r="894" spans="1:11" s="103" customFormat="1">
      <c r="A894" s="44" t="e">
        <f>#REF!</f>
        <v>#REF!</v>
      </c>
      <c r="B894" s="45" t="e">
        <f>#REF!</f>
        <v>#REF!</v>
      </c>
      <c r="C894" s="20"/>
      <c r="D894" s="20"/>
      <c r="E894" s="20"/>
      <c r="F894" s="100"/>
      <c r="G894" s="101"/>
      <c r="H894" s="133"/>
      <c r="I894" s="102"/>
      <c r="K894" s="99">
        <v>889</v>
      </c>
    </row>
    <row r="895" spans="1:11" s="6" customFormat="1">
      <c r="A895" s="14" t="e">
        <f>#REF!</f>
        <v>#REF!</v>
      </c>
      <c r="B895" s="10" t="e">
        <f>#REF!</f>
        <v>#REF!</v>
      </c>
      <c r="C895" s="9"/>
      <c r="D895" s="9"/>
      <c r="E895" s="9"/>
      <c r="F895" s="115"/>
      <c r="G895" s="116"/>
      <c r="H895" s="199"/>
      <c r="I895" s="102">
        <f>SUM(I896:I899)</f>
        <v>156300</v>
      </c>
      <c r="K895" s="99">
        <v>890</v>
      </c>
    </row>
    <row r="896" spans="1:11">
      <c r="A896" s="15">
        <v>1</v>
      </c>
      <c r="B896" s="7" t="s">
        <v>73</v>
      </c>
      <c r="C896" s="8" t="str">
        <f>Gia_Tbi!C4</f>
        <v>cái</v>
      </c>
      <c r="D896" s="8">
        <f>Gia_Tbi!D4</f>
        <v>0.4</v>
      </c>
      <c r="E896" s="8">
        <f>Gia_Tbi!E4</f>
        <v>5</v>
      </c>
      <c r="F896" s="104">
        <f>Gia_Tbi!F4</f>
        <v>10000000</v>
      </c>
      <c r="G896" s="105">
        <f>Gia_Tbi!G4</f>
        <v>4000</v>
      </c>
      <c r="H896" s="203">
        <v>30</v>
      </c>
      <c r="I896" s="106">
        <f>G896*H896</f>
        <v>120000</v>
      </c>
      <c r="K896" s="99">
        <v>891</v>
      </c>
    </row>
    <row r="897" spans="1:11">
      <c r="A897" s="15">
        <v>2</v>
      </c>
      <c r="B897" s="7" t="s">
        <v>74</v>
      </c>
      <c r="C897" s="8" t="str">
        <f>Gia_Tbi!C5</f>
        <v>cái</v>
      </c>
      <c r="D897" s="8">
        <f>Gia_Tbi!D5</f>
        <v>0.6</v>
      </c>
      <c r="E897" s="8">
        <f>Gia_Tbi!E5</f>
        <v>5</v>
      </c>
      <c r="F897" s="104">
        <f>Gia_Tbi!F5</f>
        <v>2500000</v>
      </c>
      <c r="G897" s="105">
        <f>Gia_Tbi!G5</f>
        <v>1000</v>
      </c>
      <c r="H897" s="203">
        <v>0.8</v>
      </c>
      <c r="I897" s="106">
        <f>G897*H897</f>
        <v>800</v>
      </c>
      <c r="K897" s="99">
        <v>892</v>
      </c>
    </row>
    <row r="898" spans="1:11">
      <c r="A898" s="15">
        <v>3</v>
      </c>
      <c r="B898" s="7" t="s">
        <v>24</v>
      </c>
      <c r="C898" s="8" t="str">
        <f>Gia_Tbi!C6</f>
        <v>cái</v>
      </c>
      <c r="D898" s="8">
        <f>Gia_Tbi!D6</f>
        <v>2.2000000000000002</v>
      </c>
      <c r="E898" s="8">
        <f>Gia_Tbi!E6</f>
        <v>8</v>
      </c>
      <c r="F898" s="104">
        <f>Gia_Tbi!F6</f>
        <v>12000000</v>
      </c>
      <c r="G898" s="105">
        <f>Gia_Tbi!G6</f>
        <v>3000</v>
      </c>
      <c r="H898" s="203">
        <v>10</v>
      </c>
      <c r="I898" s="106">
        <f>G898*H898</f>
        <v>30000</v>
      </c>
      <c r="K898" s="99">
        <v>893</v>
      </c>
    </row>
    <row r="899" spans="1:11">
      <c r="A899" s="15">
        <v>4</v>
      </c>
      <c r="B899" s="7" t="s">
        <v>23</v>
      </c>
      <c r="C899" s="8" t="str">
        <f>Gia_Tbi!C7</f>
        <v>cái</v>
      </c>
      <c r="D899" s="8">
        <f>Gia_Tbi!D7</f>
        <v>1.5</v>
      </c>
      <c r="E899" s="8">
        <f>Gia_Tbi!E7</f>
        <v>8</v>
      </c>
      <c r="F899" s="104">
        <f>Gia_Tbi!F7</f>
        <v>44000000</v>
      </c>
      <c r="G899" s="105">
        <f>Gia_Tbi!G7</f>
        <v>11000</v>
      </c>
      <c r="H899" s="203">
        <v>0.5</v>
      </c>
      <c r="I899" s="106">
        <f>G899*H899</f>
        <v>5500</v>
      </c>
      <c r="K899" s="99">
        <v>894</v>
      </c>
    </row>
    <row r="900" spans="1:11">
      <c r="A900" s="57">
        <v>5</v>
      </c>
      <c r="B900" s="58" t="s">
        <v>8</v>
      </c>
      <c r="C900" s="59" t="str">
        <f>Gia_Tbi!C10</f>
        <v>Cái</v>
      </c>
      <c r="D900" s="59">
        <f>Gia_Tbi!D10</f>
        <v>1</v>
      </c>
      <c r="E900" s="140">
        <f>Gia_Tbi!E10</f>
        <v>10</v>
      </c>
      <c r="F900" s="108">
        <f>Gia_Tbi!F10</f>
        <v>80000000</v>
      </c>
      <c r="G900" s="109">
        <f>Gia_Tbi!G10</f>
        <v>16000</v>
      </c>
      <c r="H900" s="197">
        <f>(H896*D896+H897*D897+H898*D898+H899*D899)*8</f>
        <v>281.84000000000003</v>
      </c>
      <c r="I900" s="144">
        <f>G900*H900*E900</f>
        <v>45094400.000000007</v>
      </c>
      <c r="K900" s="99">
        <v>895</v>
      </c>
    </row>
    <row r="901" spans="1:11" s="6" customFormat="1">
      <c r="A901" s="14" t="e">
        <f>#REF!</f>
        <v>#REF!</v>
      </c>
      <c r="B901" s="10" t="e">
        <f>#REF!</f>
        <v>#REF!</v>
      </c>
      <c r="C901" s="9"/>
      <c r="D901" s="9"/>
      <c r="E901" s="9"/>
      <c r="F901" s="115"/>
      <c r="G901" s="116"/>
      <c r="H901" s="199"/>
      <c r="I901" s="117"/>
      <c r="K901" s="99">
        <v>896</v>
      </c>
    </row>
    <row r="902" spans="1:11" s="103" customFormat="1">
      <c r="A902" s="44" t="e">
        <f>#REF!</f>
        <v>#REF!</v>
      </c>
      <c r="B902" s="45" t="e">
        <f>#REF!</f>
        <v>#REF!</v>
      </c>
      <c r="C902" s="20"/>
      <c r="D902" s="20"/>
      <c r="E902" s="20"/>
      <c r="F902" s="100"/>
      <c r="G902" s="101"/>
      <c r="H902" s="133"/>
      <c r="I902" s="102">
        <f>SUM(I903:I906)</f>
        <v>259930</v>
      </c>
      <c r="K902" s="99">
        <v>897</v>
      </c>
    </row>
    <row r="903" spans="1:11">
      <c r="A903" s="15">
        <v>1</v>
      </c>
      <c r="B903" s="7" t="s">
        <v>73</v>
      </c>
      <c r="C903" s="8" t="str">
        <f>Gia_Tbi!C4</f>
        <v>cái</v>
      </c>
      <c r="D903" s="8">
        <f>Gia_Tbi!D4</f>
        <v>0.4</v>
      </c>
      <c r="E903" s="8">
        <f>Gia_Tbi!E4</f>
        <v>5</v>
      </c>
      <c r="F903" s="104">
        <f>Gia_Tbi!F4</f>
        <v>10000000</v>
      </c>
      <c r="G903" s="105">
        <f>Gia_Tbi!G4</f>
        <v>4000</v>
      </c>
      <c r="H903" s="203">
        <v>50</v>
      </c>
      <c r="I903" s="106">
        <f>G903*H903</f>
        <v>200000</v>
      </c>
      <c r="K903" s="99">
        <v>898</v>
      </c>
    </row>
    <row r="904" spans="1:11">
      <c r="A904" s="15">
        <v>2</v>
      </c>
      <c r="B904" s="7" t="s">
        <v>74</v>
      </c>
      <c r="C904" s="8" t="str">
        <f>Gia_Tbi!C5</f>
        <v>cái</v>
      </c>
      <c r="D904" s="8">
        <f>Gia_Tbi!D5</f>
        <v>0.6</v>
      </c>
      <c r="E904" s="8">
        <f>Gia_Tbi!E5</f>
        <v>5</v>
      </c>
      <c r="F904" s="104">
        <f>Gia_Tbi!F5</f>
        <v>2500000</v>
      </c>
      <c r="G904" s="105">
        <f>Gia_Tbi!G5</f>
        <v>1000</v>
      </c>
      <c r="H904" s="203">
        <v>0.9</v>
      </c>
      <c r="I904" s="106">
        <f>G904*H904</f>
        <v>900</v>
      </c>
      <c r="K904" s="99">
        <v>899</v>
      </c>
    </row>
    <row r="905" spans="1:11">
      <c r="A905" s="15">
        <v>3</v>
      </c>
      <c r="B905" s="7" t="s">
        <v>24</v>
      </c>
      <c r="C905" s="8" t="str">
        <f>Gia_Tbi!C6</f>
        <v>cái</v>
      </c>
      <c r="D905" s="8">
        <f>Gia_Tbi!D6</f>
        <v>2.2000000000000002</v>
      </c>
      <c r="E905" s="8">
        <f>Gia_Tbi!E6</f>
        <v>8</v>
      </c>
      <c r="F905" s="104">
        <f>Gia_Tbi!F6</f>
        <v>12000000</v>
      </c>
      <c r="G905" s="105">
        <f>Gia_Tbi!G6</f>
        <v>3000</v>
      </c>
      <c r="H905" s="203">
        <v>16.670000000000002</v>
      </c>
      <c r="I905" s="106">
        <f>G905*H905</f>
        <v>50010.000000000007</v>
      </c>
      <c r="K905" s="99">
        <v>900</v>
      </c>
    </row>
    <row r="906" spans="1:11">
      <c r="A906" s="15">
        <v>4</v>
      </c>
      <c r="B906" s="7" t="s">
        <v>23</v>
      </c>
      <c r="C906" s="8" t="str">
        <f>Gia_Tbi!C7</f>
        <v>cái</v>
      </c>
      <c r="D906" s="8">
        <f>Gia_Tbi!D7</f>
        <v>1.5</v>
      </c>
      <c r="E906" s="8">
        <f>Gia_Tbi!E7</f>
        <v>8</v>
      </c>
      <c r="F906" s="104">
        <f>Gia_Tbi!F7</f>
        <v>44000000</v>
      </c>
      <c r="G906" s="105">
        <f>Gia_Tbi!G7</f>
        <v>11000</v>
      </c>
      <c r="H906" s="203">
        <v>0.82</v>
      </c>
      <c r="I906" s="106">
        <f>G906*H906</f>
        <v>9020</v>
      </c>
      <c r="K906" s="99">
        <v>901</v>
      </c>
    </row>
    <row r="907" spans="1:11">
      <c r="A907" s="57">
        <v>5</v>
      </c>
      <c r="B907" s="58" t="s">
        <v>8</v>
      </c>
      <c r="C907" s="59" t="str">
        <f>Gia_Tbi!C10</f>
        <v>Cái</v>
      </c>
      <c r="D907" s="59">
        <f>Gia_Tbi!D10</f>
        <v>1</v>
      </c>
      <c r="E907" s="140">
        <f>Gia_Tbi!E10</f>
        <v>10</v>
      </c>
      <c r="F907" s="108">
        <f>Gia_Tbi!F10</f>
        <v>80000000</v>
      </c>
      <c r="G907" s="109">
        <f>Gia_Tbi!G10</f>
        <v>16000</v>
      </c>
      <c r="H907" s="197">
        <f>(H903*D903+H904*D904+H905*D905+H906*D906)*8</f>
        <v>467.55200000000002</v>
      </c>
      <c r="I907" s="144">
        <f>G907*H907*E907</f>
        <v>74808320</v>
      </c>
      <c r="K907" s="99">
        <v>902</v>
      </c>
    </row>
    <row r="908" spans="1:11" s="103" customFormat="1">
      <c r="A908" s="44" t="e">
        <f>#REF!</f>
        <v>#REF!</v>
      </c>
      <c r="B908" s="45" t="e">
        <f>#REF!</f>
        <v>#REF!</v>
      </c>
      <c r="C908" s="20"/>
      <c r="D908" s="20"/>
      <c r="E908" s="20"/>
      <c r="F908" s="100"/>
      <c r="G908" s="101"/>
      <c r="H908" s="133"/>
      <c r="I908" s="102">
        <f>SUM(I909:I912)</f>
        <v>15450</v>
      </c>
      <c r="K908" s="99">
        <v>903</v>
      </c>
    </row>
    <row r="909" spans="1:11">
      <c r="A909" s="15">
        <v>1</v>
      </c>
      <c r="B909" s="7" t="s">
        <v>73</v>
      </c>
      <c r="C909" s="8" t="str">
        <f>Gia_Tbi!C4</f>
        <v>cái</v>
      </c>
      <c r="D909" s="8">
        <f>Gia_Tbi!D4</f>
        <v>0.4</v>
      </c>
      <c r="E909" s="8">
        <f>Gia_Tbi!E4</f>
        <v>5</v>
      </c>
      <c r="F909" s="104">
        <f>Gia_Tbi!F4</f>
        <v>10000000</v>
      </c>
      <c r="G909" s="105">
        <f>Gia_Tbi!G4</f>
        <v>4000</v>
      </c>
      <c r="H909" s="203">
        <v>3</v>
      </c>
      <c r="I909" s="106">
        <f>G909*H909</f>
        <v>12000</v>
      </c>
      <c r="K909" s="99">
        <v>904</v>
      </c>
    </row>
    <row r="910" spans="1:11">
      <c r="A910" s="15">
        <v>2</v>
      </c>
      <c r="B910" s="7" t="s">
        <v>74</v>
      </c>
      <c r="C910" s="8" t="str">
        <f>Gia_Tbi!C5</f>
        <v>cái</v>
      </c>
      <c r="D910" s="8">
        <f>Gia_Tbi!D5</f>
        <v>0.6</v>
      </c>
      <c r="E910" s="8">
        <f>Gia_Tbi!E5</f>
        <v>5</v>
      </c>
      <c r="F910" s="104">
        <f>Gia_Tbi!F5</f>
        <v>2500000</v>
      </c>
      <c r="G910" s="105">
        <f>Gia_Tbi!G5</f>
        <v>1000</v>
      </c>
      <c r="H910" s="203">
        <v>0.12</v>
      </c>
      <c r="I910" s="106">
        <f>G910*H910</f>
        <v>120</v>
      </c>
      <c r="K910" s="99">
        <v>905</v>
      </c>
    </row>
    <row r="911" spans="1:11">
      <c r="A911" s="15">
        <v>3</v>
      </c>
      <c r="B911" s="7" t="s">
        <v>24</v>
      </c>
      <c r="C911" s="8" t="str">
        <f>Gia_Tbi!C6</f>
        <v>cái</v>
      </c>
      <c r="D911" s="8">
        <f>Gia_Tbi!D6</f>
        <v>2.2000000000000002</v>
      </c>
      <c r="E911" s="8">
        <f>Gia_Tbi!E6</f>
        <v>8</v>
      </c>
      <c r="F911" s="104">
        <f>Gia_Tbi!F6</f>
        <v>12000000</v>
      </c>
      <c r="G911" s="105">
        <f>Gia_Tbi!G6</f>
        <v>3000</v>
      </c>
      <c r="H911" s="203">
        <v>1</v>
      </c>
      <c r="I911" s="106">
        <f>G911*H911</f>
        <v>3000</v>
      </c>
      <c r="K911" s="99">
        <v>906</v>
      </c>
    </row>
    <row r="912" spans="1:11">
      <c r="A912" s="15">
        <v>4</v>
      </c>
      <c r="B912" s="7" t="s">
        <v>23</v>
      </c>
      <c r="C912" s="8" t="str">
        <f>Gia_Tbi!C7</f>
        <v>cái</v>
      </c>
      <c r="D912" s="8">
        <f>Gia_Tbi!D7</f>
        <v>1.5</v>
      </c>
      <c r="E912" s="8">
        <f>Gia_Tbi!E7</f>
        <v>8</v>
      </c>
      <c r="F912" s="104">
        <f>Gia_Tbi!F7</f>
        <v>44000000</v>
      </c>
      <c r="G912" s="105">
        <f>Gia_Tbi!G7</f>
        <v>11000</v>
      </c>
      <c r="H912" s="203">
        <v>0.03</v>
      </c>
      <c r="I912" s="106">
        <f>G912*H912</f>
        <v>330</v>
      </c>
      <c r="K912" s="99">
        <v>907</v>
      </c>
    </row>
    <row r="913" spans="1:11">
      <c r="A913" s="57">
        <v>5</v>
      </c>
      <c r="B913" s="58" t="s">
        <v>8</v>
      </c>
      <c r="C913" s="59" t="str">
        <f>Gia_Tbi!C10</f>
        <v>Cái</v>
      </c>
      <c r="D913" s="59">
        <f>Gia_Tbi!D10</f>
        <v>1</v>
      </c>
      <c r="E913" s="140">
        <f>Gia_Tbi!E10</f>
        <v>10</v>
      </c>
      <c r="F913" s="108">
        <f>Gia_Tbi!F10</f>
        <v>80000000</v>
      </c>
      <c r="G913" s="109">
        <f>Gia_Tbi!G10</f>
        <v>16000</v>
      </c>
      <c r="H913" s="197">
        <f>(H909*D909+H910*D910+H911*D911+H912*D912)*8</f>
        <v>28.136000000000003</v>
      </c>
      <c r="I913" s="144">
        <f>G913*H913*E913</f>
        <v>4501760.0000000009</v>
      </c>
      <c r="K913" s="99">
        <v>908</v>
      </c>
    </row>
    <row r="914" spans="1:11" s="103" customFormat="1">
      <c r="A914" s="44" t="e">
        <f>#REF!</f>
        <v>#REF!</v>
      </c>
      <c r="B914" s="45" t="e">
        <f>#REF!</f>
        <v>#REF!</v>
      </c>
      <c r="C914" s="20"/>
      <c r="D914" s="20"/>
      <c r="E914" s="20"/>
      <c r="F914" s="100"/>
      <c r="G914" s="101"/>
      <c r="H914" s="133"/>
      <c r="I914" s="102">
        <f>SUM(I915:I918)</f>
        <v>101980</v>
      </c>
      <c r="K914" s="99">
        <v>909</v>
      </c>
    </row>
    <row r="915" spans="1:11">
      <c r="A915" s="15">
        <v>1</v>
      </c>
      <c r="B915" s="7" t="s">
        <v>73</v>
      </c>
      <c r="C915" s="8" t="str">
        <f>Gia_Tbi!C4</f>
        <v>cái</v>
      </c>
      <c r="D915" s="8">
        <f>Gia_Tbi!D4</f>
        <v>0.4</v>
      </c>
      <c r="E915" s="8">
        <f>Gia_Tbi!E4</f>
        <v>5</v>
      </c>
      <c r="F915" s="104">
        <f>Gia_Tbi!F4</f>
        <v>10000000</v>
      </c>
      <c r="G915" s="105">
        <f>Gia_Tbi!G4</f>
        <v>4000</v>
      </c>
      <c r="H915" s="203">
        <v>20</v>
      </c>
      <c r="I915" s="106">
        <f>G915*H915</f>
        <v>80000</v>
      </c>
      <c r="K915" s="99">
        <v>910</v>
      </c>
    </row>
    <row r="916" spans="1:11">
      <c r="A916" s="15">
        <v>2</v>
      </c>
      <c r="B916" s="7" t="s">
        <v>74</v>
      </c>
      <c r="C916" s="8" t="str">
        <f>Gia_Tbi!C5</f>
        <v>cái</v>
      </c>
      <c r="D916" s="8">
        <f>Gia_Tbi!D5</f>
        <v>0.6</v>
      </c>
      <c r="E916" s="8">
        <f>Gia_Tbi!E5</f>
        <v>5</v>
      </c>
      <c r="F916" s="104">
        <f>Gia_Tbi!F5</f>
        <v>2500000</v>
      </c>
      <c r="G916" s="105">
        <f>Gia_Tbi!G5</f>
        <v>1000</v>
      </c>
      <c r="H916" s="203">
        <v>0.65</v>
      </c>
      <c r="I916" s="106">
        <f>G916*H916</f>
        <v>650</v>
      </c>
      <c r="K916" s="99">
        <v>911</v>
      </c>
    </row>
    <row r="917" spans="1:11">
      <c r="A917" s="15">
        <v>3</v>
      </c>
      <c r="B917" s="7" t="s">
        <v>24</v>
      </c>
      <c r="C917" s="8" t="str">
        <f>Gia_Tbi!C6</f>
        <v>cái</v>
      </c>
      <c r="D917" s="8">
        <f>Gia_Tbi!D6</f>
        <v>2.2000000000000002</v>
      </c>
      <c r="E917" s="8">
        <f>Gia_Tbi!E6</f>
        <v>8</v>
      </c>
      <c r="F917" s="104">
        <f>Gia_Tbi!F6</f>
        <v>12000000</v>
      </c>
      <c r="G917" s="105">
        <f>Gia_Tbi!G6</f>
        <v>3000</v>
      </c>
      <c r="H917" s="203">
        <v>6.67</v>
      </c>
      <c r="I917" s="106">
        <f>G917*H917</f>
        <v>20010</v>
      </c>
      <c r="K917" s="99">
        <v>912</v>
      </c>
    </row>
    <row r="918" spans="1:11">
      <c r="A918" s="15">
        <v>4</v>
      </c>
      <c r="B918" s="7" t="s">
        <v>23</v>
      </c>
      <c r="C918" s="8" t="str">
        <f>Gia_Tbi!C7</f>
        <v>cái</v>
      </c>
      <c r="D918" s="8">
        <f>Gia_Tbi!D7</f>
        <v>1.5</v>
      </c>
      <c r="E918" s="8">
        <f>Gia_Tbi!E7</f>
        <v>8</v>
      </c>
      <c r="F918" s="104">
        <f>Gia_Tbi!F7</f>
        <v>44000000</v>
      </c>
      <c r="G918" s="105">
        <f>Gia_Tbi!G7</f>
        <v>11000</v>
      </c>
      <c r="H918" s="203">
        <v>0.12</v>
      </c>
      <c r="I918" s="106">
        <f>G918*H918</f>
        <v>1320</v>
      </c>
      <c r="K918" s="99">
        <v>913</v>
      </c>
    </row>
    <row r="919" spans="1:11">
      <c r="A919" s="57">
        <v>5</v>
      </c>
      <c r="B919" s="58" t="s">
        <v>8</v>
      </c>
      <c r="C919" s="59" t="str">
        <f>Gia_Tbi!C10</f>
        <v>Cái</v>
      </c>
      <c r="D919" s="59">
        <f>Gia_Tbi!D10</f>
        <v>1</v>
      </c>
      <c r="E919" s="140">
        <f>Gia_Tbi!E10</f>
        <v>10</v>
      </c>
      <c r="F919" s="108">
        <f>Gia_Tbi!F10</f>
        <v>80000000</v>
      </c>
      <c r="G919" s="109">
        <f>Gia_Tbi!G10</f>
        <v>16000</v>
      </c>
      <c r="H919" s="197">
        <f>(H915*D915+H916*D916+H917*D917+H918*D918)*8</f>
        <v>185.952</v>
      </c>
      <c r="I919" s="144">
        <f>G919*H919*E919</f>
        <v>29752320</v>
      </c>
      <c r="K919" s="99">
        <v>914</v>
      </c>
    </row>
    <row r="920" spans="1:11" s="103" customFormat="1">
      <c r="A920" s="44" t="e">
        <f>#REF!</f>
        <v>#REF!</v>
      </c>
      <c r="B920" s="45" t="e">
        <f>#REF!</f>
        <v>#REF!</v>
      </c>
      <c r="C920" s="20"/>
      <c r="D920" s="20"/>
      <c r="E920" s="20"/>
      <c r="F920" s="100"/>
      <c r="G920" s="101"/>
      <c r="H920" s="133"/>
      <c r="I920" s="102">
        <f>SUM(I921:I924)</f>
        <v>101980</v>
      </c>
      <c r="K920" s="99">
        <v>915</v>
      </c>
    </row>
    <row r="921" spans="1:11">
      <c r="A921" s="15">
        <v>1</v>
      </c>
      <c r="B921" s="7" t="s">
        <v>73</v>
      </c>
      <c r="C921" s="8" t="str">
        <f>Gia_Tbi!C4</f>
        <v>cái</v>
      </c>
      <c r="D921" s="8">
        <f>Gia_Tbi!D4</f>
        <v>0.4</v>
      </c>
      <c r="E921" s="8">
        <f>Gia_Tbi!E4</f>
        <v>5</v>
      </c>
      <c r="F921" s="104">
        <f>Gia_Tbi!F4</f>
        <v>10000000</v>
      </c>
      <c r="G921" s="105">
        <f>Gia_Tbi!G4</f>
        <v>4000</v>
      </c>
      <c r="H921" s="203">
        <v>20</v>
      </c>
      <c r="I921" s="106">
        <f>G921*H921</f>
        <v>80000</v>
      </c>
      <c r="K921" s="99">
        <v>916</v>
      </c>
    </row>
    <row r="922" spans="1:11">
      <c r="A922" s="15">
        <v>2</v>
      </c>
      <c r="B922" s="7" t="s">
        <v>74</v>
      </c>
      <c r="C922" s="8" t="str">
        <f>Gia_Tbi!C5</f>
        <v>cái</v>
      </c>
      <c r="D922" s="8">
        <f>Gia_Tbi!D5</f>
        <v>0.6</v>
      </c>
      <c r="E922" s="8">
        <f>Gia_Tbi!E5</f>
        <v>5</v>
      </c>
      <c r="F922" s="104">
        <f>Gia_Tbi!F5</f>
        <v>2500000</v>
      </c>
      <c r="G922" s="105">
        <f>Gia_Tbi!G5</f>
        <v>1000</v>
      </c>
      <c r="H922" s="203">
        <v>0.65</v>
      </c>
      <c r="I922" s="106">
        <f>G922*H922</f>
        <v>650</v>
      </c>
      <c r="K922" s="99">
        <v>917</v>
      </c>
    </row>
    <row r="923" spans="1:11">
      <c r="A923" s="15">
        <v>3</v>
      </c>
      <c r="B923" s="7" t="s">
        <v>24</v>
      </c>
      <c r="C923" s="8" t="str">
        <f>Gia_Tbi!C6</f>
        <v>cái</v>
      </c>
      <c r="D923" s="8">
        <f>Gia_Tbi!D6</f>
        <v>2.2000000000000002</v>
      </c>
      <c r="E923" s="8">
        <f>Gia_Tbi!E6</f>
        <v>8</v>
      </c>
      <c r="F923" s="104">
        <f>Gia_Tbi!F6</f>
        <v>12000000</v>
      </c>
      <c r="G923" s="105">
        <f>Gia_Tbi!G6</f>
        <v>3000</v>
      </c>
      <c r="H923" s="203">
        <v>6.67</v>
      </c>
      <c r="I923" s="106">
        <f>G923*H923</f>
        <v>20010</v>
      </c>
      <c r="K923" s="99">
        <v>918</v>
      </c>
    </row>
    <row r="924" spans="1:11">
      <c r="A924" s="15">
        <v>4</v>
      </c>
      <c r="B924" s="7" t="s">
        <v>23</v>
      </c>
      <c r="C924" s="8" t="str">
        <f>Gia_Tbi!C7</f>
        <v>cái</v>
      </c>
      <c r="D924" s="8">
        <f>Gia_Tbi!D7</f>
        <v>1.5</v>
      </c>
      <c r="E924" s="8">
        <f>Gia_Tbi!E7</f>
        <v>8</v>
      </c>
      <c r="F924" s="104">
        <f>Gia_Tbi!F7</f>
        <v>44000000</v>
      </c>
      <c r="G924" s="105">
        <f>Gia_Tbi!G7</f>
        <v>11000</v>
      </c>
      <c r="H924" s="203">
        <v>0.12</v>
      </c>
      <c r="I924" s="106">
        <f>G924*H924</f>
        <v>1320</v>
      </c>
      <c r="K924" s="99">
        <v>919</v>
      </c>
    </row>
    <row r="925" spans="1:11">
      <c r="A925" s="57">
        <v>5</v>
      </c>
      <c r="B925" s="58" t="s">
        <v>8</v>
      </c>
      <c r="C925" s="59" t="str">
        <f>Gia_Tbi!C10</f>
        <v>Cái</v>
      </c>
      <c r="D925" s="59">
        <f>Gia_Tbi!D10</f>
        <v>1</v>
      </c>
      <c r="E925" s="140">
        <f>Gia_Tbi!E10</f>
        <v>10</v>
      </c>
      <c r="F925" s="108">
        <f>Gia_Tbi!F10</f>
        <v>80000000</v>
      </c>
      <c r="G925" s="109">
        <f>Gia_Tbi!G10</f>
        <v>16000</v>
      </c>
      <c r="H925" s="197">
        <f>(H921*D921+H922*D922+H923*D923+H924*D924)*8</f>
        <v>185.952</v>
      </c>
      <c r="I925" s="144">
        <f>G925*H925*E925</f>
        <v>29752320</v>
      </c>
      <c r="K925" s="99">
        <v>920</v>
      </c>
    </row>
    <row r="926" spans="1:11" s="103" customFormat="1">
      <c r="A926" s="44" t="e">
        <f>#REF!</f>
        <v>#REF!</v>
      </c>
      <c r="B926" s="45" t="e">
        <f>#REF!</f>
        <v>#REF!</v>
      </c>
      <c r="C926" s="20"/>
      <c r="D926" s="20"/>
      <c r="E926" s="20"/>
      <c r="F926" s="100"/>
      <c r="G926" s="101"/>
      <c r="H926" s="133"/>
      <c r="I926" s="102">
        <f>SUM(I927:I930)</f>
        <v>25460</v>
      </c>
      <c r="K926" s="99">
        <v>921</v>
      </c>
    </row>
    <row r="927" spans="1:11">
      <c r="A927" s="15">
        <v>1</v>
      </c>
      <c r="B927" s="7" t="s">
        <v>73</v>
      </c>
      <c r="C927" s="8" t="str">
        <f>Gia_Tbi!C4</f>
        <v>cái</v>
      </c>
      <c r="D927" s="8">
        <f>Gia_Tbi!D4</f>
        <v>0.4</v>
      </c>
      <c r="E927" s="8">
        <f>Gia_Tbi!E4</f>
        <v>5</v>
      </c>
      <c r="F927" s="104">
        <f>Gia_Tbi!F4</f>
        <v>10000000</v>
      </c>
      <c r="G927" s="105">
        <f>Gia_Tbi!G4</f>
        <v>4000</v>
      </c>
      <c r="H927" s="203">
        <v>5</v>
      </c>
      <c r="I927" s="106">
        <f>G927*H927</f>
        <v>20000</v>
      </c>
      <c r="K927" s="99">
        <v>922</v>
      </c>
    </row>
    <row r="928" spans="1:11">
      <c r="A928" s="15">
        <v>2</v>
      </c>
      <c r="B928" s="7" t="s">
        <v>74</v>
      </c>
      <c r="C928" s="8" t="str">
        <f>Gia_Tbi!C5</f>
        <v>cái</v>
      </c>
      <c r="D928" s="8">
        <f>Gia_Tbi!D5</f>
        <v>0.6</v>
      </c>
      <c r="E928" s="8">
        <f>Gia_Tbi!E5</f>
        <v>5</v>
      </c>
      <c r="F928" s="104">
        <f>Gia_Tbi!F5</f>
        <v>2500000</v>
      </c>
      <c r="G928" s="105">
        <f>Gia_Tbi!G5</f>
        <v>1000</v>
      </c>
      <c r="H928" s="203">
        <v>0.23</v>
      </c>
      <c r="I928" s="106">
        <f>G928*H928</f>
        <v>230</v>
      </c>
      <c r="K928" s="99">
        <v>923</v>
      </c>
    </row>
    <row r="929" spans="1:11">
      <c r="A929" s="15">
        <v>3</v>
      </c>
      <c r="B929" s="7" t="s">
        <v>24</v>
      </c>
      <c r="C929" s="8" t="str">
        <f>Gia_Tbi!C6</f>
        <v>cái</v>
      </c>
      <c r="D929" s="8">
        <f>Gia_Tbi!D6</f>
        <v>2.2000000000000002</v>
      </c>
      <c r="E929" s="8">
        <f>Gia_Tbi!E6</f>
        <v>8</v>
      </c>
      <c r="F929" s="104">
        <f>Gia_Tbi!F6</f>
        <v>12000000</v>
      </c>
      <c r="G929" s="105">
        <f>Gia_Tbi!G6</f>
        <v>3000</v>
      </c>
      <c r="H929" s="203">
        <v>1.67</v>
      </c>
      <c r="I929" s="106">
        <f>G929*H929</f>
        <v>5010</v>
      </c>
      <c r="K929" s="99">
        <v>924</v>
      </c>
    </row>
    <row r="930" spans="1:11">
      <c r="A930" s="15">
        <v>4</v>
      </c>
      <c r="B930" s="7" t="s">
        <v>23</v>
      </c>
      <c r="C930" s="8" t="str">
        <f>Gia_Tbi!C7</f>
        <v>cái</v>
      </c>
      <c r="D930" s="8">
        <f>Gia_Tbi!D7</f>
        <v>1.5</v>
      </c>
      <c r="E930" s="8">
        <f>Gia_Tbi!E7</f>
        <v>8</v>
      </c>
      <c r="F930" s="104">
        <f>Gia_Tbi!F7</f>
        <v>44000000</v>
      </c>
      <c r="G930" s="105">
        <f>Gia_Tbi!G7</f>
        <v>11000</v>
      </c>
      <c r="H930" s="203">
        <v>0.02</v>
      </c>
      <c r="I930" s="106">
        <f>G930*H930</f>
        <v>220</v>
      </c>
      <c r="K930" s="99">
        <v>925</v>
      </c>
    </row>
    <row r="931" spans="1:11">
      <c r="A931" s="57">
        <v>5</v>
      </c>
      <c r="B931" s="58" t="s">
        <v>8</v>
      </c>
      <c r="C931" s="59" t="str">
        <f>Gia_Tbi!C10</f>
        <v>Cái</v>
      </c>
      <c r="D931" s="59">
        <f>Gia_Tbi!D10</f>
        <v>1</v>
      </c>
      <c r="E931" s="140">
        <f>Gia_Tbi!E10</f>
        <v>10</v>
      </c>
      <c r="F931" s="108">
        <f>Gia_Tbi!F10</f>
        <v>80000000</v>
      </c>
      <c r="G931" s="109">
        <f>Gia_Tbi!G10</f>
        <v>16000</v>
      </c>
      <c r="H931" s="197">
        <f>(H927*D927+H928*D928+H929*D929+H930*D930)*8</f>
        <v>46.735999999999997</v>
      </c>
      <c r="I931" s="144">
        <f>G931*H931*E931</f>
        <v>7477760</v>
      </c>
      <c r="K931" s="99">
        <v>926</v>
      </c>
    </row>
    <row r="932" spans="1:11" s="103" customFormat="1">
      <c r="A932" s="44" t="e">
        <f>#REF!</f>
        <v>#REF!</v>
      </c>
      <c r="B932" s="45" t="e">
        <f>#REF!</f>
        <v>#REF!</v>
      </c>
      <c r="C932" s="20"/>
      <c r="D932" s="20"/>
      <c r="E932" s="20"/>
      <c r="F932" s="100"/>
      <c r="G932" s="101"/>
      <c r="H932" s="133"/>
      <c r="I932" s="102">
        <f>SUM(I933:I936)</f>
        <v>25460</v>
      </c>
      <c r="K932" s="99">
        <v>927</v>
      </c>
    </row>
    <row r="933" spans="1:11">
      <c r="A933" s="15">
        <v>1</v>
      </c>
      <c r="B933" s="7" t="s">
        <v>73</v>
      </c>
      <c r="C933" s="8" t="str">
        <f>Gia_Tbi!C4</f>
        <v>cái</v>
      </c>
      <c r="D933" s="8">
        <f>Gia_Tbi!D4</f>
        <v>0.4</v>
      </c>
      <c r="E933" s="8">
        <f>Gia_Tbi!E4</f>
        <v>5</v>
      </c>
      <c r="F933" s="104">
        <f>Gia_Tbi!F4</f>
        <v>10000000</v>
      </c>
      <c r="G933" s="105">
        <f>Gia_Tbi!G4</f>
        <v>4000</v>
      </c>
      <c r="H933" s="203">
        <v>5</v>
      </c>
      <c r="I933" s="106">
        <f>G933*H933</f>
        <v>20000</v>
      </c>
      <c r="K933" s="99">
        <v>928</v>
      </c>
    </row>
    <row r="934" spans="1:11">
      <c r="A934" s="15">
        <v>2</v>
      </c>
      <c r="B934" s="7" t="s">
        <v>74</v>
      </c>
      <c r="C934" s="8" t="str">
        <f>Gia_Tbi!C5</f>
        <v>cái</v>
      </c>
      <c r="D934" s="8">
        <f>Gia_Tbi!D5</f>
        <v>0.6</v>
      </c>
      <c r="E934" s="8">
        <f>Gia_Tbi!E5</f>
        <v>5</v>
      </c>
      <c r="F934" s="104">
        <f>Gia_Tbi!F5</f>
        <v>2500000</v>
      </c>
      <c r="G934" s="105">
        <f>Gia_Tbi!G5</f>
        <v>1000</v>
      </c>
      <c r="H934" s="203">
        <v>0.23</v>
      </c>
      <c r="I934" s="106">
        <f>G934*H934</f>
        <v>230</v>
      </c>
      <c r="K934" s="99">
        <v>929</v>
      </c>
    </row>
    <row r="935" spans="1:11">
      <c r="A935" s="15">
        <v>3</v>
      </c>
      <c r="B935" s="7" t="s">
        <v>24</v>
      </c>
      <c r="C935" s="8" t="str">
        <f>Gia_Tbi!C6</f>
        <v>cái</v>
      </c>
      <c r="D935" s="8">
        <f>Gia_Tbi!D6</f>
        <v>2.2000000000000002</v>
      </c>
      <c r="E935" s="8">
        <f>Gia_Tbi!E6</f>
        <v>8</v>
      </c>
      <c r="F935" s="104">
        <f>Gia_Tbi!F6</f>
        <v>12000000</v>
      </c>
      <c r="G935" s="105">
        <f>Gia_Tbi!G6</f>
        <v>3000</v>
      </c>
      <c r="H935" s="203">
        <v>1.67</v>
      </c>
      <c r="I935" s="106">
        <f>G935*H935</f>
        <v>5010</v>
      </c>
      <c r="K935" s="99">
        <v>930</v>
      </c>
    </row>
    <row r="936" spans="1:11">
      <c r="A936" s="15">
        <v>4</v>
      </c>
      <c r="B936" s="7" t="s">
        <v>23</v>
      </c>
      <c r="C936" s="8" t="str">
        <f>Gia_Tbi!C7</f>
        <v>cái</v>
      </c>
      <c r="D936" s="8">
        <f>Gia_Tbi!D7</f>
        <v>1.5</v>
      </c>
      <c r="E936" s="8">
        <f>Gia_Tbi!E7</f>
        <v>8</v>
      </c>
      <c r="F936" s="104">
        <f>Gia_Tbi!F7</f>
        <v>44000000</v>
      </c>
      <c r="G936" s="105">
        <f>Gia_Tbi!G7</f>
        <v>11000</v>
      </c>
      <c r="H936" s="203">
        <v>0.02</v>
      </c>
      <c r="I936" s="106">
        <f>G936*H936</f>
        <v>220</v>
      </c>
      <c r="K936" s="99">
        <v>931</v>
      </c>
    </row>
    <row r="937" spans="1:11">
      <c r="A937" s="57">
        <v>5</v>
      </c>
      <c r="B937" s="58" t="s">
        <v>8</v>
      </c>
      <c r="C937" s="59" t="str">
        <f>Gia_Tbi!C10</f>
        <v>Cái</v>
      </c>
      <c r="D937" s="59">
        <f>Gia_Tbi!D10</f>
        <v>1</v>
      </c>
      <c r="E937" s="140">
        <f>Gia_Tbi!E10</f>
        <v>10</v>
      </c>
      <c r="F937" s="108">
        <f>Gia_Tbi!F10</f>
        <v>80000000</v>
      </c>
      <c r="G937" s="109">
        <f>Gia_Tbi!G10</f>
        <v>16000</v>
      </c>
      <c r="H937" s="197">
        <f>(H933*D933+H934*D934+H935*D935+H936*D936)*8</f>
        <v>46.735999999999997</v>
      </c>
      <c r="I937" s="144">
        <f>G937*H937*E937</f>
        <v>7477760</v>
      </c>
      <c r="K937" s="99">
        <v>932</v>
      </c>
    </row>
    <row r="938" spans="1:11" s="103" customFormat="1">
      <c r="A938" s="44" t="e">
        <f>#REF!</f>
        <v>#REF!</v>
      </c>
      <c r="B938" s="45" t="e">
        <f>#REF!</f>
        <v>#REF!</v>
      </c>
      <c r="C938" s="20"/>
      <c r="D938" s="20"/>
      <c r="E938" s="20"/>
      <c r="F938" s="100"/>
      <c r="G938" s="101"/>
      <c r="H938" s="133"/>
      <c r="I938" s="102">
        <f>SUM(I939:I942)</f>
        <v>22390</v>
      </c>
      <c r="K938" s="99">
        <v>933</v>
      </c>
    </row>
    <row r="939" spans="1:11">
      <c r="A939" s="15">
        <v>1</v>
      </c>
      <c r="B939" s="7" t="s">
        <v>73</v>
      </c>
      <c r="C939" s="8" t="str">
        <f>Gia_Tbi!C4</f>
        <v>cái</v>
      </c>
      <c r="D939" s="8">
        <f>Gia_Tbi!D4</f>
        <v>0.4</v>
      </c>
      <c r="E939" s="8">
        <f>Gia_Tbi!E4</f>
        <v>5</v>
      </c>
      <c r="F939" s="104">
        <f>Gia_Tbi!F4</f>
        <v>10000000</v>
      </c>
      <c r="G939" s="105">
        <f>Gia_Tbi!G4</f>
        <v>4000</v>
      </c>
      <c r="H939" s="203">
        <v>4</v>
      </c>
      <c r="I939" s="106">
        <f>G939*H939</f>
        <v>16000</v>
      </c>
      <c r="K939" s="99">
        <v>934</v>
      </c>
    </row>
    <row r="940" spans="1:11">
      <c r="A940" s="15">
        <v>2</v>
      </c>
      <c r="B940" s="7" t="s">
        <v>74</v>
      </c>
      <c r="C940" s="8" t="str">
        <f>Gia_Tbi!C5</f>
        <v>cái</v>
      </c>
      <c r="D940" s="8">
        <f>Gia_Tbi!D5</f>
        <v>0.6</v>
      </c>
      <c r="E940" s="8">
        <f>Gia_Tbi!E5</f>
        <v>5</v>
      </c>
      <c r="F940" s="104">
        <f>Gia_Tbi!F5</f>
        <v>2500000</v>
      </c>
      <c r="G940" s="105">
        <f>Gia_Tbi!G5</f>
        <v>1000</v>
      </c>
      <c r="H940" s="203">
        <v>0.2</v>
      </c>
      <c r="I940" s="106">
        <f>G940*H940</f>
        <v>200</v>
      </c>
      <c r="K940" s="99">
        <v>935</v>
      </c>
    </row>
    <row r="941" spans="1:11">
      <c r="A941" s="15">
        <v>3</v>
      </c>
      <c r="B941" s="7" t="s">
        <v>24</v>
      </c>
      <c r="C941" s="8" t="str">
        <f>Gia_Tbi!C6</f>
        <v>cái</v>
      </c>
      <c r="D941" s="8">
        <f>Gia_Tbi!D6</f>
        <v>2.2000000000000002</v>
      </c>
      <c r="E941" s="8">
        <f>Gia_Tbi!E6</f>
        <v>8</v>
      </c>
      <c r="F941" s="104">
        <f>Gia_Tbi!F6</f>
        <v>12000000</v>
      </c>
      <c r="G941" s="105">
        <f>Gia_Tbi!G6</f>
        <v>3000</v>
      </c>
      <c r="H941" s="203">
        <v>1.33</v>
      </c>
      <c r="I941" s="106">
        <f>G941*H941</f>
        <v>3990</v>
      </c>
      <c r="K941" s="99">
        <v>936</v>
      </c>
    </row>
    <row r="942" spans="1:11">
      <c r="A942" s="15">
        <v>4</v>
      </c>
      <c r="B942" s="7" t="s">
        <v>23</v>
      </c>
      <c r="C942" s="8" t="str">
        <f>Gia_Tbi!C7</f>
        <v>cái</v>
      </c>
      <c r="D942" s="8">
        <f>Gia_Tbi!D7</f>
        <v>1.5</v>
      </c>
      <c r="E942" s="8">
        <f>Gia_Tbi!E7</f>
        <v>8</v>
      </c>
      <c r="F942" s="104">
        <f>Gia_Tbi!F7</f>
        <v>44000000</v>
      </c>
      <c r="G942" s="105">
        <f>Gia_Tbi!G7</f>
        <v>11000</v>
      </c>
      <c r="H942" s="203">
        <v>0.2</v>
      </c>
      <c r="I942" s="106">
        <f>G942*H942</f>
        <v>2200</v>
      </c>
      <c r="K942" s="99">
        <v>937</v>
      </c>
    </row>
    <row r="943" spans="1:11">
      <c r="A943" s="57">
        <v>5</v>
      </c>
      <c r="B943" s="58" t="s">
        <v>8</v>
      </c>
      <c r="C943" s="59" t="str">
        <f>Gia_Tbi!C10</f>
        <v>Cái</v>
      </c>
      <c r="D943" s="59">
        <f>Gia_Tbi!D10</f>
        <v>1</v>
      </c>
      <c r="E943" s="140">
        <f>Gia_Tbi!E10</f>
        <v>10</v>
      </c>
      <c r="F943" s="108">
        <f>Gia_Tbi!F10</f>
        <v>80000000</v>
      </c>
      <c r="G943" s="109">
        <f>Gia_Tbi!G10</f>
        <v>16000</v>
      </c>
      <c r="H943" s="197">
        <f>(H939*D939+H940*D940+H941*D941+H942*D942)*8</f>
        <v>39.568000000000005</v>
      </c>
      <c r="I943" s="144">
        <f>G943*H943*E943</f>
        <v>6330880.0000000009</v>
      </c>
      <c r="K943" s="99">
        <v>938</v>
      </c>
    </row>
    <row r="944" spans="1:11" s="103" customFormat="1">
      <c r="A944" s="44" t="e">
        <f>#REF!</f>
        <v>#REF!</v>
      </c>
      <c r="B944" s="45" t="e">
        <f>#REF!</f>
        <v>#REF!</v>
      </c>
      <c r="C944" s="20"/>
      <c r="D944" s="20"/>
      <c r="E944" s="20"/>
      <c r="F944" s="100"/>
      <c r="G944" s="101"/>
      <c r="H944" s="133"/>
      <c r="I944" s="102">
        <f>SUM(I945:I948)</f>
        <v>22390</v>
      </c>
      <c r="K944" s="99">
        <v>939</v>
      </c>
    </row>
    <row r="945" spans="1:11">
      <c r="A945" s="15">
        <v>1</v>
      </c>
      <c r="B945" s="7" t="s">
        <v>73</v>
      </c>
      <c r="C945" s="8" t="str">
        <f>Gia_Tbi!C4</f>
        <v>cái</v>
      </c>
      <c r="D945" s="8">
        <f>Gia_Tbi!D4</f>
        <v>0.4</v>
      </c>
      <c r="E945" s="8">
        <f>Gia_Tbi!E4</f>
        <v>5</v>
      </c>
      <c r="F945" s="104">
        <f>Gia_Tbi!F4</f>
        <v>10000000</v>
      </c>
      <c r="G945" s="105">
        <f>Gia_Tbi!G4</f>
        <v>4000</v>
      </c>
      <c r="H945" s="203">
        <v>4</v>
      </c>
      <c r="I945" s="106">
        <f>G945*H945</f>
        <v>16000</v>
      </c>
      <c r="K945" s="99">
        <v>940</v>
      </c>
    </row>
    <row r="946" spans="1:11">
      <c r="A946" s="15">
        <v>2</v>
      </c>
      <c r="B946" s="7" t="s">
        <v>74</v>
      </c>
      <c r="C946" s="8" t="str">
        <f>Gia_Tbi!C5</f>
        <v>cái</v>
      </c>
      <c r="D946" s="8">
        <f>Gia_Tbi!D5</f>
        <v>0.6</v>
      </c>
      <c r="E946" s="8">
        <f>Gia_Tbi!E5</f>
        <v>5</v>
      </c>
      <c r="F946" s="104">
        <f>Gia_Tbi!F5</f>
        <v>2500000</v>
      </c>
      <c r="G946" s="105">
        <f>Gia_Tbi!G5</f>
        <v>1000</v>
      </c>
      <c r="H946" s="203">
        <v>0.2</v>
      </c>
      <c r="I946" s="106">
        <f>G946*H946</f>
        <v>200</v>
      </c>
      <c r="K946" s="99">
        <v>941</v>
      </c>
    </row>
    <row r="947" spans="1:11">
      <c r="A947" s="15">
        <v>3</v>
      </c>
      <c r="B947" s="7" t="s">
        <v>24</v>
      </c>
      <c r="C947" s="8" t="str">
        <f>Gia_Tbi!C6</f>
        <v>cái</v>
      </c>
      <c r="D947" s="8">
        <f>Gia_Tbi!D6</f>
        <v>2.2000000000000002</v>
      </c>
      <c r="E947" s="8">
        <f>Gia_Tbi!E6</f>
        <v>8</v>
      </c>
      <c r="F947" s="104">
        <f>Gia_Tbi!F6</f>
        <v>12000000</v>
      </c>
      <c r="G947" s="105">
        <f>Gia_Tbi!G6</f>
        <v>3000</v>
      </c>
      <c r="H947" s="203">
        <v>1.33</v>
      </c>
      <c r="I947" s="106">
        <f>G947*H947</f>
        <v>3990</v>
      </c>
      <c r="K947" s="99">
        <v>942</v>
      </c>
    </row>
    <row r="948" spans="1:11">
      <c r="A948" s="15">
        <v>4</v>
      </c>
      <c r="B948" s="7" t="s">
        <v>23</v>
      </c>
      <c r="C948" s="8" t="str">
        <f>Gia_Tbi!C7</f>
        <v>cái</v>
      </c>
      <c r="D948" s="8">
        <f>Gia_Tbi!D7</f>
        <v>1.5</v>
      </c>
      <c r="E948" s="8">
        <f>Gia_Tbi!E7</f>
        <v>8</v>
      </c>
      <c r="F948" s="104">
        <f>Gia_Tbi!F7</f>
        <v>44000000</v>
      </c>
      <c r="G948" s="105">
        <f>Gia_Tbi!G7</f>
        <v>11000</v>
      </c>
      <c r="H948" s="203">
        <v>0.2</v>
      </c>
      <c r="I948" s="106">
        <f>G948*H948</f>
        <v>2200</v>
      </c>
      <c r="K948" s="99">
        <v>943</v>
      </c>
    </row>
    <row r="949" spans="1:11">
      <c r="A949" s="57">
        <v>5</v>
      </c>
      <c r="B949" s="58" t="s">
        <v>8</v>
      </c>
      <c r="C949" s="59" t="str">
        <f>Gia_Tbi!C10</f>
        <v>Cái</v>
      </c>
      <c r="D949" s="59">
        <f>Gia_Tbi!D10</f>
        <v>1</v>
      </c>
      <c r="E949" s="140">
        <f>Gia_Tbi!E10</f>
        <v>10</v>
      </c>
      <c r="F949" s="108">
        <f>Gia_Tbi!F10</f>
        <v>80000000</v>
      </c>
      <c r="G949" s="109">
        <f>Gia_Tbi!G10</f>
        <v>16000</v>
      </c>
      <c r="H949" s="197">
        <f>(H945*D945+H946*D946+H947*D947+H948*D948)*8</f>
        <v>39.568000000000005</v>
      </c>
      <c r="I949" s="144">
        <f>G949*H949*E949</f>
        <v>6330880.0000000009</v>
      </c>
      <c r="K949" s="99">
        <v>944</v>
      </c>
    </row>
    <row r="950" spans="1:11" s="6" customFormat="1">
      <c r="A950" s="14" t="e">
        <f>#REF!</f>
        <v>#REF!</v>
      </c>
      <c r="B950" s="10" t="e">
        <f>#REF!</f>
        <v>#REF!</v>
      </c>
      <c r="C950" s="9"/>
      <c r="D950" s="9"/>
      <c r="E950" s="9"/>
      <c r="F950" s="115"/>
      <c r="G950" s="116"/>
      <c r="H950" s="199"/>
      <c r="I950" s="117"/>
      <c r="K950" s="99">
        <v>945</v>
      </c>
    </row>
    <row r="951" spans="1:11" s="103" customFormat="1">
      <c r="A951" s="44" t="e">
        <f>#REF!</f>
        <v>#REF!</v>
      </c>
      <c r="B951" s="45" t="e">
        <f>#REF!</f>
        <v>#REF!</v>
      </c>
      <c r="C951" s="20"/>
      <c r="D951" s="20"/>
      <c r="E951" s="20"/>
      <c r="F951" s="100"/>
      <c r="G951" s="101"/>
      <c r="H951" s="133"/>
      <c r="I951" s="102">
        <f>SUM(I952:I955)</f>
        <v>15450</v>
      </c>
      <c r="K951" s="99">
        <v>946</v>
      </c>
    </row>
    <row r="952" spans="1:11">
      <c r="A952" s="15">
        <v>1</v>
      </c>
      <c r="B952" s="7" t="s">
        <v>73</v>
      </c>
      <c r="C952" s="8" t="str">
        <f>Gia_Tbi!C4</f>
        <v>cái</v>
      </c>
      <c r="D952" s="8">
        <f>Gia_Tbi!D4</f>
        <v>0.4</v>
      </c>
      <c r="E952" s="8">
        <f>Gia_Tbi!E4</f>
        <v>5</v>
      </c>
      <c r="F952" s="104">
        <f>Gia_Tbi!F4</f>
        <v>10000000</v>
      </c>
      <c r="G952" s="105">
        <f>Gia_Tbi!G4</f>
        <v>4000</v>
      </c>
      <c r="H952" s="203">
        <v>3</v>
      </c>
      <c r="I952" s="106">
        <f>G952*H952</f>
        <v>12000</v>
      </c>
      <c r="K952" s="99">
        <v>947</v>
      </c>
    </row>
    <row r="953" spans="1:11">
      <c r="A953" s="15">
        <v>2</v>
      </c>
      <c r="B953" s="7" t="s">
        <v>74</v>
      </c>
      <c r="C953" s="8" t="str">
        <f>Gia_Tbi!C5</f>
        <v>cái</v>
      </c>
      <c r="D953" s="8">
        <f>Gia_Tbi!D5</f>
        <v>0.6</v>
      </c>
      <c r="E953" s="8">
        <f>Gia_Tbi!E5</f>
        <v>5</v>
      </c>
      <c r="F953" s="104">
        <f>Gia_Tbi!F5</f>
        <v>2500000</v>
      </c>
      <c r="G953" s="105">
        <f>Gia_Tbi!G5</f>
        <v>1000</v>
      </c>
      <c r="H953" s="203">
        <v>0.12</v>
      </c>
      <c r="I953" s="106">
        <f>G953*H953</f>
        <v>120</v>
      </c>
      <c r="K953" s="99">
        <v>948</v>
      </c>
    </row>
    <row r="954" spans="1:11">
      <c r="A954" s="15">
        <v>3</v>
      </c>
      <c r="B954" s="7" t="s">
        <v>24</v>
      </c>
      <c r="C954" s="8" t="str">
        <f>Gia_Tbi!C6</f>
        <v>cái</v>
      </c>
      <c r="D954" s="8">
        <f>Gia_Tbi!D6</f>
        <v>2.2000000000000002</v>
      </c>
      <c r="E954" s="8">
        <f>Gia_Tbi!E6</f>
        <v>8</v>
      </c>
      <c r="F954" s="104">
        <f>Gia_Tbi!F6</f>
        <v>12000000</v>
      </c>
      <c r="G954" s="105">
        <f>Gia_Tbi!G6</f>
        <v>3000</v>
      </c>
      <c r="H954" s="203">
        <v>1</v>
      </c>
      <c r="I954" s="106">
        <f>G954*H954</f>
        <v>3000</v>
      </c>
      <c r="K954" s="99">
        <v>949</v>
      </c>
    </row>
    <row r="955" spans="1:11">
      <c r="A955" s="15">
        <v>4</v>
      </c>
      <c r="B955" s="7" t="s">
        <v>23</v>
      </c>
      <c r="C955" s="8" t="str">
        <f>Gia_Tbi!C7</f>
        <v>cái</v>
      </c>
      <c r="D955" s="8">
        <f>Gia_Tbi!D7</f>
        <v>1.5</v>
      </c>
      <c r="E955" s="8">
        <f>Gia_Tbi!E7</f>
        <v>8</v>
      </c>
      <c r="F955" s="104">
        <f>Gia_Tbi!F7</f>
        <v>44000000</v>
      </c>
      <c r="G955" s="105">
        <f>Gia_Tbi!G7</f>
        <v>11000</v>
      </c>
      <c r="H955" s="203">
        <v>0.03</v>
      </c>
      <c r="I955" s="106">
        <f>G955*H955</f>
        <v>330</v>
      </c>
      <c r="K955" s="99">
        <v>950</v>
      </c>
    </row>
    <row r="956" spans="1:11">
      <c r="A956" s="57">
        <v>5</v>
      </c>
      <c r="B956" s="58" t="s">
        <v>8</v>
      </c>
      <c r="C956" s="59" t="str">
        <f>Gia_Tbi!C10</f>
        <v>Cái</v>
      </c>
      <c r="D956" s="59">
        <f>Gia_Tbi!D10</f>
        <v>1</v>
      </c>
      <c r="E956" s="140">
        <f>Gia_Tbi!E10</f>
        <v>10</v>
      </c>
      <c r="F956" s="108">
        <f>Gia_Tbi!F10</f>
        <v>80000000</v>
      </c>
      <c r="G956" s="109">
        <f>Gia_Tbi!G10</f>
        <v>16000</v>
      </c>
      <c r="H956" s="197">
        <f>(H952*D952+H953*D953+H954*D954+H955*D955)*8</f>
        <v>28.136000000000003</v>
      </c>
      <c r="I956" s="144">
        <f>G956*H956*E956</f>
        <v>4501760.0000000009</v>
      </c>
      <c r="K956" s="99">
        <v>951</v>
      </c>
    </row>
    <row r="957" spans="1:11" s="103" customFormat="1">
      <c r="A957" s="44" t="e">
        <f>#REF!</f>
        <v>#REF!</v>
      </c>
      <c r="B957" s="45" t="e">
        <f>#REF!</f>
        <v>#REF!</v>
      </c>
      <c r="C957" s="20"/>
      <c r="D957" s="20"/>
      <c r="E957" s="20"/>
      <c r="F957" s="100"/>
      <c r="G957" s="101"/>
      <c r="H957" s="133"/>
      <c r="I957" s="102">
        <f>SUM(I958:I961)</f>
        <v>25460</v>
      </c>
      <c r="K957" s="99">
        <v>952</v>
      </c>
    </row>
    <row r="958" spans="1:11">
      <c r="A958" s="15">
        <v>1</v>
      </c>
      <c r="B958" s="7" t="s">
        <v>73</v>
      </c>
      <c r="C958" s="8" t="str">
        <f>Gia_Tbi!C4</f>
        <v>cái</v>
      </c>
      <c r="D958" s="8">
        <f>Gia_Tbi!D4</f>
        <v>0.4</v>
      </c>
      <c r="E958" s="8">
        <f>Gia_Tbi!E4</f>
        <v>5</v>
      </c>
      <c r="F958" s="104">
        <f>Gia_Tbi!F4</f>
        <v>10000000</v>
      </c>
      <c r="G958" s="105">
        <f>Gia_Tbi!G4</f>
        <v>4000</v>
      </c>
      <c r="H958" s="203">
        <v>5</v>
      </c>
      <c r="I958" s="106">
        <f>G958*H958</f>
        <v>20000</v>
      </c>
      <c r="K958" s="99">
        <v>953</v>
      </c>
    </row>
    <row r="959" spans="1:11">
      <c r="A959" s="15">
        <v>2</v>
      </c>
      <c r="B959" s="7" t="s">
        <v>74</v>
      </c>
      <c r="C959" s="8" t="str">
        <f>Gia_Tbi!C5</f>
        <v>cái</v>
      </c>
      <c r="D959" s="8">
        <f>Gia_Tbi!D5</f>
        <v>0.6</v>
      </c>
      <c r="E959" s="8">
        <f>Gia_Tbi!E5</f>
        <v>5</v>
      </c>
      <c r="F959" s="104">
        <f>Gia_Tbi!F5</f>
        <v>2500000</v>
      </c>
      <c r="G959" s="105">
        <f>Gia_Tbi!G5</f>
        <v>1000</v>
      </c>
      <c r="H959" s="203">
        <v>0.23</v>
      </c>
      <c r="I959" s="106">
        <f>G959*H959</f>
        <v>230</v>
      </c>
      <c r="K959" s="99">
        <v>954</v>
      </c>
    </row>
    <row r="960" spans="1:11">
      <c r="A960" s="15">
        <v>3</v>
      </c>
      <c r="B960" s="7" t="s">
        <v>24</v>
      </c>
      <c r="C960" s="8" t="str">
        <f>Gia_Tbi!C6</f>
        <v>cái</v>
      </c>
      <c r="D960" s="8">
        <f>Gia_Tbi!D6</f>
        <v>2.2000000000000002</v>
      </c>
      <c r="E960" s="8">
        <f>Gia_Tbi!E6</f>
        <v>8</v>
      </c>
      <c r="F960" s="104">
        <f>Gia_Tbi!F6</f>
        <v>12000000</v>
      </c>
      <c r="G960" s="105">
        <f>Gia_Tbi!G6</f>
        <v>3000</v>
      </c>
      <c r="H960" s="203">
        <v>1.67</v>
      </c>
      <c r="I960" s="106">
        <f>G960*H960</f>
        <v>5010</v>
      </c>
      <c r="K960" s="99">
        <v>955</v>
      </c>
    </row>
    <row r="961" spans="1:11">
      <c r="A961" s="15">
        <v>4</v>
      </c>
      <c r="B961" s="7" t="s">
        <v>23</v>
      </c>
      <c r="C961" s="8" t="str">
        <f>Gia_Tbi!C7</f>
        <v>cái</v>
      </c>
      <c r="D961" s="8">
        <f>Gia_Tbi!D7</f>
        <v>1.5</v>
      </c>
      <c r="E961" s="8">
        <f>Gia_Tbi!E7</f>
        <v>8</v>
      </c>
      <c r="F961" s="104">
        <f>Gia_Tbi!F7</f>
        <v>44000000</v>
      </c>
      <c r="G961" s="105">
        <f>Gia_Tbi!G7</f>
        <v>11000</v>
      </c>
      <c r="H961" s="203">
        <v>0.02</v>
      </c>
      <c r="I961" s="106">
        <f>G961*H961</f>
        <v>220</v>
      </c>
      <c r="K961" s="99">
        <v>956</v>
      </c>
    </row>
    <row r="962" spans="1:11">
      <c r="A962" s="57">
        <v>5</v>
      </c>
      <c r="B962" s="58" t="s">
        <v>8</v>
      </c>
      <c r="C962" s="59" t="str">
        <f>Gia_Tbi!C10</f>
        <v>Cái</v>
      </c>
      <c r="D962" s="59">
        <f>Gia_Tbi!D10</f>
        <v>1</v>
      </c>
      <c r="E962" s="140">
        <f>Gia_Tbi!E10</f>
        <v>10</v>
      </c>
      <c r="F962" s="108">
        <f>Gia_Tbi!F10</f>
        <v>80000000</v>
      </c>
      <c r="G962" s="109">
        <f>Gia_Tbi!G10</f>
        <v>16000</v>
      </c>
      <c r="H962" s="197">
        <f>(H958*D958+H959*D959+H960*D960+H961*D961)*8</f>
        <v>46.735999999999997</v>
      </c>
      <c r="I962" s="144">
        <f>G962*H962*E962</f>
        <v>7477760</v>
      </c>
      <c r="K962" s="99">
        <v>957</v>
      </c>
    </row>
    <row r="963" spans="1:11" s="103" customFormat="1">
      <c r="A963" s="44" t="e">
        <f>#REF!</f>
        <v>#REF!</v>
      </c>
      <c r="B963" s="45" t="e">
        <f>#REF!</f>
        <v>#REF!</v>
      </c>
      <c r="C963" s="20"/>
      <c r="D963" s="20"/>
      <c r="E963" s="20"/>
      <c r="F963" s="100"/>
      <c r="G963" s="101"/>
      <c r="H963" s="133"/>
      <c r="I963" s="102">
        <f>SUM(I964:I967)</f>
        <v>25460</v>
      </c>
      <c r="K963" s="99">
        <v>958</v>
      </c>
    </row>
    <row r="964" spans="1:11">
      <c r="A964" s="15">
        <v>1</v>
      </c>
      <c r="B964" s="7" t="s">
        <v>73</v>
      </c>
      <c r="C964" s="8" t="str">
        <f>Gia_Tbi!C4</f>
        <v>cái</v>
      </c>
      <c r="D964" s="8">
        <f>Gia_Tbi!D4</f>
        <v>0.4</v>
      </c>
      <c r="E964" s="8">
        <f>Gia_Tbi!E4</f>
        <v>5</v>
      </c>
      <c r="F964" s="104">
        <f>Gia_Tbi!F4</f>
        <v>10000000</v>
      </c>
      <c r="G964" s="105">
        <f>Gia_Tbi!G4</f>
        <v>4000</v>
      </c>
      <c r="H964" s="203">
        <v>5</v>
      </c>
      <c r="I964" s="106">
        <f>G964*H964</f>
        <v>20000</v>
      </c>
      <c r="K964" s="99">
        <v>959</v>
      </c>
    </row>
    <row r="965" spans="1:11">
      <c r="A965" s="15">
        <v>2</v>
      </c>
      <c r="B965" s="7" t="s">
        <v>74</v>
      </c>
      <c r="C965" s="8" t="str">
        <f>Gia_Tbi!C5</f>
        <v>cái</v>
      </c>
      <c r="D965" s="8">
        <f>Gia_Tbi!D5</f>
        <v>0.6</v>
      </c>
      <c r="E965" s="8">
        <f>Gia_Tbi!E5</f>
        <v>5</v>
      </c>
      <c r="F965" s="104">
        <f>Gia_Tbi!F5</f>
        <v>2500000</v>
      </c>
      <c r="G965" s="105">
        <f>Gia_Tbi!G5</f>
        <v>1000</v>
      </c>
      <c r="H965" s="203">
        <v>0.23</v>
      </c>
      <c r="I965" s="106">
        <f>G965*H965</f>
        <v>230</v>
      </c>
      <c r="K965" s="99">
        <v>960</v>
      </c>
    </row>
    <row r="966" spans="1:11">
      <c r="A966" s="15">
        <v>3</v>
      </c>
      <c r="B966" s="7" t="s">
        <v>24</v>
      </c>
      <c r="C966" s="8" t="str">
        <f>Gia_Tbi!C6</f>
        <v>cái</v>
      </c>
      <c r="D966" s="8">
        <f>Gia_Tbi!D6</f>
        <v>2.2000000000000002</v>
      </c>
      <c r="E966" s="8">
        <f>Gia_Tbi!E6</f>
        <v>8</v>
      </c>
      <c r="F966" s="104">
        <f>Gia_Tbi!F6</f>
        <v>12000000</v>
      </c>
      <c r="G966" s="105">
        <f>Gia_Tbi!G6</f>
        <v>3000</v>
      </c>
      <c r="H966" s="203">
        <v>1.67</v>
      </c>
      <c r="I966" s="106">
        <f>G966*H966</f>
        <v>5010</v>
      </c>
      <c r="K966" s="99">
        <v>961</v>
      </c>
    </row>
    <row r="967" spans="1:11">
      <c r="A967" s="15">
        <v>4</v>
      </c>
      <c r="B967" s="7" t="s">
        <v>23</v>
      </c>
      <c r="C967" s="8" t="str">
        <f>Gia_Tbi!C7</f>
        <v>cái</v>
      </c>
      <c r="D967" s="8">
        <f>Gia_Tbi!D7</f>
        <v>1.5</v>
      </c>
      <c r="E967" s="8">
        <f>Gia_Tbi!E7</f>
        <v>8</v>
      </c>
      <c r="F967" s="104">
        <f>Gia_Tbi!F7</f>
        <v>44000000</v>
      </c>
      <c r="G967" s="105">
        <f>Gia_Tbi!G7</f>
        <v>11000</v>
      </c>
      <c r="H967" s="203">
        <v>0.02</v>
      </c>
      <c r="I967" s="106">
        <f>G967*H967</f>
        <v>220</v>
      </c>
      <c r="K967" s="99">
        <v>962</v>
      </c>
    </row>
    <row r="968" spans="1:11">
      <c r="A968" s="57">
        <v>5</v>
      </c>
      <c r="B968" s="58" t="s">
        <v>8</v>
      </c>
      <c r="C968" s="59" t="str">
        <f>Gia_Tbi!C10</f>
        <v>Cái</v>
      </c>
      <c r="D968" s="59">
        <f>Gia_Tbi!D10</f>
        <v>1</v>
      </c>
      <c r="E968" s="140">
        <f>Gia_Tbi!E10</f>
        <v>10</v>
      </c>
      <c r="F968" s="108">
        <f>Gia_Tbi!F10</f>
        <v>80000000</v>
      </c>
      <c r="G968" s="109">
        <f>Gia_Tbi!G10</f>
        <v>16000</v>
      </c>
      <c r="H968" s="197">
        <f>(H964*D964+H965*D965+H966*D966+H967*D967)*8</f>
        <v>46.735999999999997</v>
      </c>
      <c r="I968" s="144">
        <f>G968*H968*E968</f>
        <v>7477760</v>
      </c>
      <c r="K968" s="99">
        <v>963</v>
      </c>
    </row>
    <row r="969" spans="1:11" s="103" customFormat="1">
      <c r="A969" s="44" t="e">
        <f>#REF!</f>
        <v>#REF!</v>
      </c>
      <c r="B969" s="45" t="e">
        <f>#REF!</f>
        <v>#REF!</v>
      </c>
      <c r="C969" s="20"/>
      <c r="D969" s="20"/>
      <c r="E969" s="20"/>
      <c r="F969" s="100"/>
      <c r="G969" s="101"/>
      <c r="H969" s="133"/>
      <c r="I969" s="102">
        <f>SUM(I970:I973)</f>
        <v>22390</v>
      </c>
      <c r="K969" s="99">
        <v>964</v>
      </c>
    </row>
    <row r="970" spans="1:11">
      <c r="A970" s="15">
        <v>1</v>
      </c>
      <c r="B970" s="7" t="s">
        <v>73</v>
      </c>
      <c r="C970" s="8" t="str">
        <f>Gia_Tbi!C4</f>
        <v>cái</v>
      </c>
      <c r="D970" s="8">
        <f>Gia_Tbi!D4</f>
        <v>0.4</v>
      </c>
      <c r="E970" s="8">
        <f>Gia_Tbi!E4</f>
        <v>5</v>
      </c>
      <c r="F970" s="104">
        <f>Gia_Tbi!F4</f>
        <v>10000000</v>
      </c>
      <c r="G970" s="105">
        <f>Gia_Tbi!G4</f>
        <v>4000</v>
      </c>
      <c r="H970" s="203">
        <v>4</v>
      </c>
      <c r="I970" s="106">
        <f>G970*H970</f>
        <v>16000</v>
      </c>
      <c r="K970" s="99">
        <v>965</v>
      </c>
    </row>
    <row r="971" spans="1:11">
      <c r="A971" s="15">
        <v>2</v>
      </c>
      <c r="B971" s="7" t="s">
        <v>74</v>
      </c>
      <c r="C971" s="8" t="str">
        <f>Gia_Tbi!C5</f>
        <v>cái</v>
      </c>
      <c r="D971" s="8">
        <f>Gia_Tbi!D5</f>
        <v>0.6</v>
      </c>
      <c r="E971" s="8">
        <f>Gia_Tbi!E5</f>
        <v>5</v>
      </c>
      <c r="F971" s="104">
        <f>Gia_Tbi!F5</f>
        <v>2500000</v>
      </c>
      <c r="G971" s="105">
        <f>Gia_Tbi!G5</f>
        <v>1000</v>
      </c>
      <c r="H971" s="203">
        <v>0.2</v>
      </c>
      <c r="I971" s="106">
        <f>G971*H971</f>
        <v>200</v>
      </c>
      <c r="K971" s="99">
        <v>966</v>
      </c>
    </row>
    <row r="972" spans="1:11">
      <c r="A972" s="15">
        <v>3</v>
      </c>
      <c r="B972" s="7" t="s">
        <v>24</v>
      </c>
      <c r="C972" s="8" t="str">
        <f>Gia_Tbi!C6</f>
        <v>cái</v>
      </c>
      <c r="D972" s="8">
        <f>Gia_Tbi!D6</f>
        <v>2.2000000000000002</v>
      </c>
      <c r="E972" s="8">
        <f>Gia_Tbi!E6</f>
        <v>8</v>
      </c>
      <c r="F972" s="104">
        <f>Gia_Tbi!F6</f>
        <v>12000000</v>
      </c>
      <c r="G972" s="105">
        <f>Gia_Tbi!G6</f>
        <v>3000</v>
      </c>
      <c r="H972" s="203">
        <v>1.33</v>
      </c>
      <c r="I972" s="106">
        <f>G972*H972</f>
        <v>3990</v>
      </c>
      <c r="K972" s="99">
        <v>967</v>
      </c>
    </row>
    <row r="973" spans="1:11">
      <c r="A973" s="15">
        <v>4</v>
      </c>
      <c r="B973" s="7" t="s">
        <v>23</v>
      </c>
      <c r="C973" s="8" t="str">
        <f>Gia_Tbi!C7</f>
        <v>cái</v>
      </c>
      <c r="D973" s="8">
        <f>Gia_Tbi!D7</f>
        <v>1.5</v>
      </c>
      <c r="E973" s="8">
        <f>Gia_Tbi!E7</f>
        <v>8</v>
      </c>
      <c r="F973" s="104">
        <f>Gia_Tbi!F7</f>
        <v>44000000</v>
      </c>
      <c r="G973" s="105">
        <f>Gia_Tbi!G7</f>
        <v>11000</v>
      </c>
      <c r="H973" s="203">
        <v>0.2</v>
      </c>
      <c r="I973" s="106">
        <f>G973*H973</f>
        <v>2200</v>
      </c>
      <c r="K973" s="99">
        <v>968</v>
      </c>
    </row>
    <row r="974" spans="1:11">
      <c r="A974" s="57">
        <v>5</v>
      </c>
      <c r="B974" s="58" t="s">
        <v>8</v>
      </c>
      <c r="C974" s="59" t="str">
        <f>Gia_Tbi!C10</f>
        <v>Cái</v>
      </c>
      <c r="D974" s="59">
        <f>Gia_Tbi!D10</f>
        <v>1</v>
      </c>
      <c r="E974" s="140">
        <f>Gia_Tbi!E10</f>
        <v>10</v>
      </c>
      <c r="F974" s="108">
        <f>Gia_Tbi!F10</f>
        <v>80000000</v>
      </c>
      <c r="G974" s="109">
        <f>Gia_Tbi!G10</f>
        <v>16000</v>
      </c>
      <c r="H974" s="197">
        <f>(H970*D970+H971*D971+H972*D972+H973*D973)*8</f>
        <v>39.568000000000005</v>
      </c>
      <c r="I974" s="144">
        <f>G974*H974*E974</f>
        <v>6330880.0000000009</v>
      </c>
      <c r="K974" s="99">
        <v>969</v>
      </c>
    </row>
    <row r="975" spans="1:11" s="103" customFormat="1">
      <c r="A975" s="44" t="e">
        <f>#REF!</f>
        <v>#REF!</v>
      </c>
      <c r="B975" s="45" t="e">
        <f>#REF!</f>
        <v>#REF!</v>
      </c>
      <c r="C975" s="20"/>
      <c r="D975" s="20"/>
      <c r="E975" s="20"/>
      <c r="F975" s="100"/>
      <c r="G975" s="101"/>
      <c r="H975" s="133"/>
      <c r="I975" s="102">
        <f>SUM(I976:I979)</f>
        <v>22390</v>
      </c>
      <c r="K975" s="99">
        <v>970</v>
      </c>
    </row>
    <row r="976" spans="1:11">
      <c r="A976" s="15">
        <v>1</v>
      </c>
      <c r="B976" s="7" t="s">
        <v>73</v>
      </c>
      <c r="C976" s="8" t="str">
        <f>Gia_Tbi!C4</f>
        <v>cái</v>
      </c>
      <c r="D976" s="8">
        <f>Gia_Tbi!D4</f>
        <v>0.4</v>
      </c>
      <c r="E976" s="8">
        <f>Gia_Tbi!E4</f>
        <v>5</v>
      </c>
      <c r="F976" s="104">
        <f>Gia_Tbi!F4</f>
        <v>10000000</v>
      </c>
      <c r="G976" s="105">
        <f>Gia_Tbi!G4</f>
        <v>4000</v>
      </c>
      <c r="H976" s="203">
        <v>4</v>
      </c>
      <c r="I976" s="106">
        <f>G976*H976</f>
        <v>16000</v>
      </c>
      <c r="K976" s="99">
        <v>971</v>
      </c>
    </row>
    <row r="977" spans="1:11">
      <c r="A977" s="15">
        <v>2</v>
      </c>
      <c r="B977" s="7" t="s">
        <v>74</v>
      </c>
      <c r="C977" s="8" t="str">
        <f>Gia_Tbi!C5</f>
        <v>cái</v>
      </c>
      <c r="D977" s="8">
        <f>Gia_Tbi!D5</f>
        <v>0.6</v>
      </c>
      <c r="E977" s="8">
        <f>Gia_Tbi!E5</f>
        <v>5</v>
      </c>
      <c r="F977" s="104">
        <f>Gia_Tbi!F5</f>
        <v>2500000</v>
      </c>
      <c r="G977" s="105">
        <f>Gia_Tbi!G5</f>
        <v>1000</v>
      </c>
      <c r="H977" s="203">
        <v>0.2</v>
      </c>
      <c r="I977" s="106">
        <f>G977*H977</f>
        <v>200</v>
      </c>
      <c r="K977" s="99">
        <v>972</v>
      </c>
    </row>
    <row r="978" spans="1:11">
      <c r="A978" s="15">
        <v>3</v>
      </c>
      <c r="B978" s="7" t="s">
        <v>24</v>
      </c>
      <c r="C978" s="8" t="str">
        <f>Gia_Tbi!C6</f>
        <v>cái</v>
      </c>
      <c r="D978" s="8">
        <f>Gia_Tbi!D6</f>
        <v>2.2000000000000002</v>
      </c>
      <c r="E978" s="8">
        <f>Gia_Tbi!E6</f>
        <v>8</v>
      </c>
      <c r="F978" s="104">
        <f>Gia_Tbi!F6</f>
        <v>12000000</v>
      </c>
      <c r="G978" s="105">
        <f>Gia_Tbi!G6</f>
        <v>3000</v>
      </c>
      <c r="H978" s="203">
        <v>1.33</v>
      </c>
      <c r="I978" s="106">
        <f>G978*H978</f>
        <v>3990</v>
      </c>
      <c r="K978" s="99">
        <v>973</v>
      </c>
    </row>
    <row r="979" spans="1:11">
      <c r="A979" s="15">
        <v>4</v>
      </c>
      <c r="B979" s="7" t="s">
        <v>23</v>
      </c>
      <c r="C979" s="8" t="str">
        <f>Gia_Tbi!C7</f>
        <v>cái</v>
      </c>
      <c r="D979" s="8">
        <f>Gia_Tbi!D7</f>
        <v>1.5</v>
      </c>
      <c r="E979" s="8">
        <f>Gia_Tbi!E7</f>
        <v>8</v>
      </c>
      <c r="F979" s="104">
        <f>Gia_Tbi!F7</f>
        <v>44000000</v>
      </c>
      <c r="G979" s="105">
        <f>Gia_Tbi!G7</f>
        <v>11000</v>
      </c>
      <c r="H979" s="203">
        <v>0.2</v>
      </c>
      <c r="I979" s="106">
        <f>G979*H979</f>
        <v>2200</v>
      </c>
      <c r="K979" s="99">
        <v>974</v>
      </c>
    </row>
    <row r="980" spans="1:11">
      <c r="A980" s="57">
        <v>5</v>
      </c>
      <c r="B980" s="58" t="s">
        <v>8</v>
      </c>
      <c r="C980" s="59" t="str">
        <f>Gia_Tbi!C10</f>
        <v>Cái</v>
      </c>
      <c r="D980" s="59">
        <f>Gia_Tbi!D10</f>
        <v>1</v>
      </c>
      <c r="E980" s="140">
        <f>Gia_Tbi!E10</f>
        <v>10</v>
      </c>
      <c r="F980" s="108">
        <f>Gia_Tbi!F10</f>
        <v>80000000</v>
      </c>
      <c r="G980" s="109">
        <f>Gia_Tbi!G10</f>
        <v>16000</v>
      </c>
      <c r="H980" s="197">
        <f>(H976*D976+H977*D977+H978*D978+H979*D979)*8</f>
        <v>39.568000000000005</v>
      </c>
      <c r="I980" s="144">
        <f>G980*H980*E980</f>
        <v>6330880.0000000009</v>
      </c>
      <c r="K980" s="99">
        <v>975</v>
      </c>
    </row>
    <row r="981" spans="1:11" s="6" customFormat="1">
      <c r="A981" s="14" t="e">
        <f>#REF!</f>
        <v>#REF!</v>
      </c>
      <c r="B981" s="10" t="e">
        <f>#REF!</f>
        <v>#REF!</v>
      </c>
      <c r="C981" s="9"/>
      <c r="D981" s="9"/>
      <c r="E981" s="9"/>
      <c r="F981" s="115"/>
      <c r="G981" s="116"/>
      <c r="H981" s="199"/>
      <c r="I981" s="117"/>
      <c r="K981" s="99">
        <v>976</v>
      </c>
    </row>
    <row r="982" spans="1:11" s="6" customFormat="1">
      <c r="A982" s="14" t="e">
        <f>#REF!</f>
        <v>#REF!</v>
      </c>
      <c r="B982" s="10" t="e">
        <f>#REF!</f>
        <v>#REF!</v>
      </c>
      <c r="C982" s="9"/>
      <c r="D982" s="9"/>
      <c r="E982" s="9"/>
      <c r="F982" s="115"/>
      <c r="G982" s="116"/>
      <c r="H982" s="199"/>
      <c r="I982" s="102">
        <f>SUM(I983:I986)</f>
        <v>208300</v>
      </c>
      <c r="K982" s="99">
        <v>977</v>
      </c>
    </row>
    <row r="983" spans="1:11">
      <c r="A983" s="15">
        <v>1</v>
      </c>
      <c r="B983" s="7" t="s">
        <v>73</v>
      </c>
      <c r="C983" s="8" t="str">
        <f>Gia_Tbi!C4</f>
        <v>cái</v>
      </c>
      <c r="D983" s="8">
        <f>Gia_Tbi!D4</f>
        <v>0.4</v>
      </c>
      <c r="E983" s="8">
        <f>Gia_Tbi!E4</f>
        <v>5</v>
      </c>
      <c r="F983" s="141">
        <f>Gia_Tbi!F4</f>
        <v>10000000</v>
      </c>
      <c r="G983" s="8">
        <f>Gia_Tbi!G4</f>
        <v>4000</v>
      </c>
      <c r="H983" s="203">
        <v>45</v>
      </c>
      <c r="I983" s="106">
        <f>G983*H983</f>
        <v>180000</v>
      </c>
      <c r="K983" s="99">
        <v>978</v>
      </c>
    </row>
    <row r="984" spans="1:11">
      <c r="A984" s="15">
        <v>2</v>
      </c>
      <c r="B984" s="7" t="s">
        <v>74</v>
      </c>
      <c r="C984" s="8" t="str">
        <f>Gia_Tbi!C5</f>
        <v>cái</v>
      </c>
      <c r="D984" s="8">
        <f>Gia_Tbi!D5</f>
        <v>0.6</v>
      </c>
      <c r="E984" s="8">
        <f>Gia_Tbi!E5</f>
        <v>5</v>
      </c>
      <c r="F984" s="141">
        <f>Gia_Tbi!F5</f>
        <v>2500000</v>
      </c>
      <c r="G984" s="8">
        <f>Gia_Tbi!G5</f>
        <v>1000</v>
      </c>
      <c r="H984" s="203">
        <v>1.2</v>
      </c>
      <c r="I984" s="106">
        <f>G984*H984</f>
        <v>1200</v>
      </c>
      <c r="K984" s="99">
        <v>979</v>
      </c>
    </row>
    <row r="985" spans="1:11">
      <c r="A985" s="15">
        <v>3</v>
      </c>
      <c r="B985" s="7" t="s">
        <v>24</v>
      </c>
      <c r="C985" s="8" t="str">
        <f>Gia_Tbi!C6</f>
        <v>cái</v>
      </c>
      <c r="D985" s="8">
        <f>Gia_Tbi!D6</f>
        <v>2.2000000000000002</v>
      </c>
      <c r="E985" s="8">
        <f>Gia_Tbi!E6</f>
        <v>8</v>
      </c>
      <c r="F985" s="141">
        <f>Gia_Tbi!F6</f>
        <v>12000000</v>
      </c>
      <c r="G985" s="8">
        <f>Gia_Tbi!G6</f>
        <v>3000</v>
      </c>
      <c r="H985" s="203">
        <v>5</v>
      </c>
      <c r="I985" s="106">
        <f>G985*H985</f>
        <v>15000</v>
      </c>
      <c r="K985" s="99">
        <v>980</v>
      </c>
    </row>
    <row r="986" spans="1:11">
      <c r="A986" s="15">
        <v>4</v>
      </c>
      <c r="B986" s="7" t="s">
        <v>23</v>
      </c>
      <c r="C986" s="8" t="str">
        <f>Gia_Tbi!C7</f>
        <v>cái</v>
      </c>
      <c r="D986" s="8">
        <f>Gia_Tbi!D7</f>
        <v>1.5</v>
      </c>
      <c r="E986" s="8">
        <f>Gia_Tbi!E7</f>
        <v>8</v>
      </c>
      <c r="F986" s="141">
        <f>Gia_Tbi!F7</f>
        <v>44000000</v>
      </c>
      <c r="G986" s="8">
        <f>Gia_Tbi!G7</f>
        <v>11000</v>
      </c>
      <c r="H986" s="203">
        <v>1.1000000000000001</v>
      </c>
      <c r="I986" s="106">
        <f>G986*H986</f>
        <v>12100.000000000002</v>
      </c>
      <c r="K986" s="99">
        <v>981</v>
      </c>
    </row>
    <row r="987" spans="1:11">
      <c r="A987" s="57">
        <v>5</v>
      </c>
      <c r="B987" s="58" t="s">
        <v>8</v>
      </c>
      <c r="C987" s="59" t="str">
        <f>Gia_Tbi!C10</f>
        <v>Cái</v>
      </c>
      <c r="D987" s="59">
        <f>Gia_Tbi!D10</f>
        <v>1</v>
      </c>
      <c r="E987" s="140">
        <f>Gia_Tbi!E10</f>
        <v>10</v>
      </c>
      <c r="F987" s="142">
        <f>Gia_Tbi!F10</f>
        <v>80000000</v>
      </c>
      <c r="G987" s="59">
        <f>Gia_Tbi!G10</f>
        <v>16000</v>
      </c>
      <c r="H987" s="197">
        <f>(H983*D983+H984*D984+H985*D985+H986*D986)*8</f>
        <v>250.95999999999998</v>
      </c>
      <c r="I987" s="144">
        <f>G987*H987*E987</f>
        <v>40153599.999999993</v>
      </c>
      <c r="K987" s="99">
        <v>982</v>
      </c>
    </row>
    <row r="988" spans="1:11" s="6" customFormat="1">
      <c r="A988" s="14" t="e">
        <f>#REF!</f>
        <v>#REF!</v>
      </c>
      <c r="B988" s="10" t="e">
        <f>#REF!</f>
        <v>#REF!</v>
      </c>
      <c r="C988" s="9"/>
      <c r="D988" s="9"/>
      <c r="E988" s="9"/>
      <c r="F988" s="115"/>
      <c r="G988" s="116"/>
      <c r="H988" s="199"/>
      <c r="I988" s="102">
        <f>SUM(I989:I992)</f>
        <v>52360</v>
      </c>
      <c r="K988" s="99">
        <v>983</v>
      </c>
    </row>
    <row r="989" spans="1:11">
      <c r="A989" s="15">
        <v>1</v>
      </c>
      <c r="B989" s="7" t="s">
        <v>73</v>
      </c>
      <c r="C989" s="8" t="str">
        <f>Gia_Tbi!C4</f>
        <v>cái</v>
      </c>
      <c r="D989" s="8">
        <f>Gia_Tbi!D4</f>
        <v>0.4</v>
      </c>
      <c r="E989" s="8">
        <f>Gia_Tbi!E4</f>
        <v>5</v>
      </c>
      <c r="F989" s="141">
        <f>Gia_Tbi!F4</f>
        <v>10000000</v>
      </c>
      <c r="G989" s="8">
        <f>Gia_Tbi!G4</f>
        <v>4000</v>
      </c>
      <c r="H989" s="203">
        <v>12</v>
      </c>
      <c r="I989" s="106">
        <f>G989*H989</f>
        <v>48000</v>
      </c>
      <c r="K989" s="99">
        <v>984</v>
      </c>
    </row>
    <row r="990" spans="1:11">
      <c r="A990" s="15">
        <v>2</v>
      </c>
      <c r="B990" s="7" t="s">
        <v>74</v>
      </c>
      <c r="C990" s="8" t="str">
        <f>Gia_Tbi!C5</f>
        <v>cái</v>
      </c>
      <c r="D990" s="8">
        <f>Gia_Tbi!D5</f>
        <v>0.6</v>
      </c>
      <c r="E990" s="8">
        <f>Gia_Tbi!E5</f>
        <v>5</v>
      </c>
      <c r="F990" s="104">
        <f>Gia_Tbi!F5</f>
        <v>2500000</v>
      </c>
      <c r="G990" s="105">
        <f>Gia_Tbi!G5</f>
        <v>1000</v>
      </c>
      <c r="H990" s="203">
        <v>0.15</v>
      </c>
      <c r="I990" s="106">
        <f>G990*H990</f>
        <v>150</v>
      </c>
      <c r="K990" s="99">
        <v>985</v>
      </c>
    </row>
    <row r="991" spans="1:11">
      <c r="A991" s="15">
        <v>3</v>
      </c>
      <c r="B991" s="7" t="s">
        <v>24</v>
      </c>
      <c r="C991" s="8" t="str">
        <f>Gia_Tbi!C6</f>
        <v>cái</v>
      </c>
      <c r="D991" s="8">
        <f>Gia_Tbi!D6</f>
        <v>2.2000000000000002</v>
      </c>
      <c r="E991" s="8">
        <f>Gia_Tbi!E6</f>
        <v>8</v>
      </c>
      <c r="F991" s="104">
        <f>Gia_Tbi!F6</f>
        <v>12000000</v>
      </c>
      <c r="G991" s="105">
        <f>Gia_Tbi!G6</f>
        <v>3000</v>
      </c>
      <c r="H991" s="203">
        <v>0.67</v>
      </c>
      <c r="I991" s="106">
        <f>G991*H991</f>
        <v>2010.0000000000002</v>
      </c>
      <c r="K991" s="99">
        <v>986</v>
      </c>
    </row>
    <row r="992" spans="1:11">
      <c r="A992" s="15">
        <v>4</v>
      </c>
      <c r="B992" s="7" t="s">
        <v>23</v>
      </c>
      <c r="C992" s="8" t="str">
        <f>Gia_Tbi!C7</f>
        <v>cái</v>
      </c>
      <c r="D992" s="8">
        <f>Gia_Tbi!D7</f>
        <v>1.5</v>
      </c>
      <c r="E992" s="8">
        <f>Gia_Tbi!E7</f>
        <v>8</v>
      </c>
      <c r="F992" s="104">
        <f>Gia_Tbi!F7</f>
        <v>44000000</v>
      </c>
      <c r="G992" s="105">
        <f>Gia_Tbi!G7</f>
        <v>11000</v>
      </c>
      <c r="H992" s="203">
        <v>0.2</v>
      </c>
      <c r="I992" s="106">
        <f>G992*H992</f>
        <v>2200</v>
      </c>
      <c r="K992" s="99">
        <v>987</v>
      </c>
    </row>
    <row r="993" spans="1:11">
      <c r="A993" s="57">
        <v>5</v>
      </c>
      <c r="B993" s="58" t="s">
        <v>8</v>
      </c>
      <c r="C993" s="59" t="str">
        <f>Gia_Tbi!C10</f>
        <v>Cái</v>
      </c>
      <c r="D993" s="59">
        <f>Gia_Tbi!D10</f>
        <v>1</v>
      </c>
      <c r="E993" s="140">
        <f>Gia_Tbi!E10</f>
        <v>10</v>
      </c>
      <c r="F993" s="142">
        <f>Gia_Tbi!F10</f>
        <v>80000000</v>
      </c>
      <c r="G993" s="59">
        <f>Gia_Tbi!G10</f>
        <v>16000</v>
      </c>
      <c r="H993" s="197">
        <f>(H989*D989+H990*D990+H991*D991+H992*D992)*8</f>
        <v>53.312000000000005</v>
      </c>
      <c r="I993" s="144">
        <f>G993*H993*E993</f>
        <v>8529920.0000000019</v>
      </c>
      <c r="K993" s="99">
        <v>988</v>
      </c>
    </row>
    <row r="994" spans="1:11" s="6" customFormat="1">
      <c r="A994" s="14" t="e">
        <f>#REF!</f>
        <v>#REF!</v>
      </c>
      <c r="B994" s="10" t="e">
        <f>#REF!</f>
        <v>#REF!</v>
      </c>
      <c r="C994" s="9"/>
      <c r="D994" s="9"/>
      <c r="E994" s="9"/>
      <c r="F994" s="115"/>
      <c r="G994" s="116"/>
      <c r="H994" s="199"/>
      <c r="I994" s="102">
        <f>SUM(I995:I998)</f>
        <v>45670</v>
      </c>
      <c r="K994" s="99">
        <v>989</v>
      </c>
    </row>
    <row r="995" spans="1:11">
      <c r="A995" s="15">
        <v>1</v>
      </c>
      <c r="B995" s="7" t="s">
        <v>73</v>
      </c>
      <c r="C995" s="8" t="str">
        <f>Gia_Tbi!C4</f>
        <v>cái</v>
      </c>
      <c r="D995" s="8">
        <f>Gia_Tbi!D4</f>
        <v>0.4</v>
      </c>
      <c r="E995" s="8">
        <f>Gia_Tbi!E4</f>
        <v>5</v>
      </c>
      <c r="F995" s="141">
        <f>Gia_Tbi!F4</f>
        <v>10000000</v>
      </c>
      <c r="G995" s="8">
        <f>Gia_Tbi!G4</f>
        <v>4000</v>
      </c>
      <c r="H995" s="203">
        <v>10</v>
      </c>
      <c r="I995" s="106">
        <f>G995*H995</f>
        <v>40000</v>
      </c>
      <c r="K995" s="99">
        <v>990</v>
      </c>
    </row>
    <row r="996" spans="1:11">
      <c r="A996" s="15">
        <v>2</v>
      </c>
      <c r="B996" s="7" t="s">
        <v>74</v>
      </c>
      <c r="C996" s="8" t="str">
        <f>Gia_Tbi!C5</f>
        <v>cái</v>
      </c>
      <c r="D996" s="8">
        <f>Gia_Tbi!D5</f>
        <v>0.6</v>
      </c>
      <c r="E996" s="8">
        <f>Gia_Tbi!E5</f>
        <v>5</v>
      </c>
      <c r="F996" s="104">
        <f>Gia_Tbi!F5</f>
        <v>2500000</v>
      </c>
      <c r="G996" s="105">
        <f>Gia_Tbi!G5</f>
        <v>1000</v>
      </c>
      <c r="H996" s="203">
        <v>0.14000000000000001</v>
      </c>
      <c r="I996" s="106">
        <f>G996*H996</f>
        <v>140</v>
      </c>
      <c r="K996" s="99">
        <v>991</v>
      </c>
    </row>
    <row r="997" spans="1:11">
      <c r="A997" s="15">
        <v>3</v>
      </c>
      <c r="B997" s="7" t="s">
        <v>24</v>
      </c>
      <c r="C997" s="8" t="str">
        <f>Gia_Tbi!C6</f>
        <v>cái</v>
      </c>
      <c r="D997" s="8">
        <f>Gia_Tbi!D6</f>
        <v>2.2000000000000002</v>
      </c>
      <c r="E997" s="8">
        <f>Gia_Tbi!E6</f>
        <v>8</v>
      </c>
      <c r="F997" s="104">
        <f>Gia_Tbi!F6</f>
        <v>12000000</v>
      </c>
      <c r="G997" s="105">
        <f>Gia_Tbi!G6</f>
        <v>3000</v>
      </c>
      <c r="H997" s="203">
        <v>1.1100000000000001</v>
      </c>
      <c r="I997" s="106">
        <f>G997*H997</f>
        <v>3330.0000000000005</v>
      </c>
      <c r="K997" s="99">
        <v>992</v>
      </c>
    </row>
    <row r="998" spans="1:11">
      <c r="A998" s="15">
        <v>4</v>
      </c>
      <c r="B998" s="7" t="s">
        <v>23</v>
      </c>
      <c r="C998" s="8" t="str">
        <f>Gia_Tbi!C7</f>
        <v>cái</v>
      </c>
      <c r="D998" s="8">
        <f>Gia_Tbi!D7</f>
        <v>1.5</v>
      </c>
      <c r="E998" s="8">
        <f>Gia_Tbi!E7</f>
        <v>8</v>
      </c>
      <c r="F998" s="104">
        <f>Gia_Tbi!F7</f>
        <v>44000000</v>
      </c>
      <c r="G998" s="105">
        <f>Gia_Tbi!G7</f>
        <v>11000</v>
      </c>
      <c r="H998" s="203">
        <v>0.2</v>
      </c>
      <c r="I998" s="106">
        <f>G998*H998</f>
        <v>2200</v>
      </c>
      <c r="K998" s="99">
        <v>993</v>
      </c>
    </row>
    <row r="999" spans="1:11">
      <c r="A999" s="15">
        <v>5</v>
      </c>
      <c r="B999" s="7" t="s">
        <v>8</v>
      </c>
      <c r="C999" s="8" t="str">
        <f>Gia_Tbi!C10</f>
        <v>Cái</v>
      </c>
      <c r="D999" s="8">
        <f>Gia_Tbi!D10</f>
        <v>1</v>
      </c>
      <c r="E999" s="8">
        <f>Gia_Tbi!E10</f>
        <v>10</v>
      </c>
      <c r="F999" s="104">
        <f>Gia_Tbi!F10</f>
        <v>80000000</v>
      </c>
      <c r="G999" s="105">
        <f>Gia_Tbi!G10</f>
        <v>16000</v>
      </c>
      <c r="H999" s="203">
        <f>(H995*D995+H996*D996+H997*D997+H998*D998)*8</f>
        <v>54.607999999999997</v>
      </c>
      <c r="I999" s="106">
        <f>G999*H999*E999</f>
        <v>8737280</v>
      </c>
      <c r="K999" s="99">
        <v>994</v>
      </c>
    </row>
    <row r="1000" spans="1:11" ht="16.5" thickBot="1">
      <c r="A1000" s="145"/>
      <c r="B1000" s="146"/>
      <c r="C1000" s="147"/>
      <c r="D1000" s="147"/>
      <c r="E1000" s="148"/>
      <c r="F1000" s="149"/>
      <c r="G1000" s="147"/>
      <c r="H1000" s="207"/>
      <c r="I1000" s="150"/>
      <c r="K1000" s="99"/>
    </row>
  </sheetData>
  <mergeCells count="24">
    <mergeCell ref="A1:I1"/>
    <mergeCell ref="B5:I5"/>
    <mergeCell ref="B156:I156"/>
    <mergeCell ref="A618:A620"/>
    <mergeCell ref="B618:B620"/>
    <mergeCell ref="B350:I350"/>
    <mergeCell ref="B594:I594"/>
    <mergeCell ref="B180:B182"/>
    <mergeCell ref="A626:A628"/>
    <mergeCell ref="B626:B628"/>
    <mergeCell ref="B848:I848"/>
    <mergeCell ref="A12:A14"/>
    <mergeCell ref="B12:B14"/>
    <mergeCell ref="A163:A165"/>
    <mergeCell ref="B163:B165"/>
    <mergeCell ref="A172:A174"/>
    <mergeCell ref="B172:B174"/>
    <mergeCell ref="A180:A182"/>
    <mergeCell ref="A602:A604"/>
    <mergeCell ref="B602:B604"/>
    <mergeCell ref="A634:A636"/>
    <mergeCell ref="B634:B636"/>
    <mergeCell ref="A610:A612"/>
    <mergeCell ref="B610:B612"/>
  </mergeCells>
  <phoneticPr fontId="4" type="noConversion"/>
  <printOptions horizontalCentered="1"/>
  <pageMargins left="0.5" right="0.25" top="0.5" bottom="0.5" header="0.5" footer="0.5"/>
  <pageSetup paperSize="9" orientation="portrait" horizontalDpi="1200"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H1692"/>
  <sheetViews>
    <sheetView topLeftCell="A25" workbookViewId="0">
      <selection activeCell="B114" sqref="B114"/>
    </sheetView>
  </sheetViews>
  <sheetFormatPr defaultColWidth="9" defaultRowHeight="15.75"/>
  <cols>
    <col min="1" max="1" width="8.25" style="3" customWidth="1"/>
    <col min="2" max="2" width="47.875" style="4" customWidth="1"/>
    <col min="3" max="3" width="6.375" style="3" customWidth="1"/>
    <col min="4" max="4" width="9.375" style="88" customWidth="1"/>
    <col min="5" max="5" width="9" style="67"/>
    <col min="6" max="6" width="14" style="25" customWidth="1"/>
    <col min="7" max="11" width="0" style="4" hidden="1" customWidth="1"/>
    <col min="12" max="14" width="9" style="4"/>
    <col min="15" max="15" width="31.875" style="4" customWidth="1"/>
    <col min="16" max="16384" width="9" style="4"/>
  </cols>
  <sheetData>
    <row r="1" spans="1:8">
      <c r="A1" s="1857" t="s">
        <v>88</v>
      </c>
      <c r="B1" s="1857"/>
      <c r="C1" s="1857"/>
      <c r="D1" s="1857"/>
      <c r="E1" s="1857"/>
      <c r="F1" s="1857"/>
    </row>
    <row r="2" spans="1:8" ht="16.5" thickBot="1">
      <c r="E2" s="61" t="s">
        <v>70</v>
      </c>
      <c r="F2" s="47" t="s">
        <v>76</v>
      </c>
    </row>
    <row r="3" spans="1:8" s="6" customFormat="1" ht="31.5">
      <c r="A3" s="2038" t="s">
        <v>14</v>
      </c>
      <c r="B3" s="2040" t="s">
        <v>3</v>
      </c>
      <c r="C3" s="2040" t="s">
        <v>20</v>
      </c>
      <c r="D3" s="89" t="s">
        <v>18</v>
      </c>
      <c r="E3" s="62" t="s">
        <v>17</v>
      </c>
      <c r="F3" s="28" t="s">
        <v>19</v>
      </c>
    </row>
    <row r="4" spans="1:8" s="6" customFormat="1">
      <c r="A4" s="2039"/>
      <c r="B4" s="2041"/>
      <c r="C4" s="2041"/>
      <c r="D4" s="215" t="s">
        <v>101</v>
      </c>
      <c r="E4" s="216" t="s">
        <v>106</v>
      </c>
      <c r="F4" s="217" t="s">
        <v>101</v>
      </c>
    </row>
    <row r="5" spans="1:8" s="11" customFormat="1">
      <c r="A5" s="29" t="e">
        <f>#REF!</f>
        <v>#REF!</v>
      </c>
      <c r="B5" s="135" t="e">
        <f>#REF!</f>
        <v>#REF!</v>
      </c>
      <c r="C5" s="136"/>
      <c r="D5" s="136"/>
      <c r="E5" s="136"/>
      <c r="F5" s="137"/>
      <c r="H5" s="12">
        <v>1</v>
      </c>
    </row>
    <row r="6" spans="1:8" s="46" customFormat="1">
      <c r="A6" s="44" t="e">
        <f>#REF!</f>
        <v>#REF!</v>
      </c>
      <c r="B6" s="45" t="e">
        <f>#REF!</f>
        <v>#REF!</v>
      </c>
      <c r="C6" s="20"/>
      <c r="D6" s="151">
        <f>Gia_VLieu!D$16</f>
        <v>1</v>
      </c>
      <c r="E6" s="63"/>
      <c r="F6" s="23">
        <f>SUM(F7:F17)*D6</f>
        <v>1379000</v>
      </c>
      <c r="H6" s="12">
        <v>2</v>
      </c>
    </row>
    <row r="7" spans="1:8" s="5" customFormat="1">
      <c r="A7" s="15">
        <v>1</v>
      </c>
      <c r="B7" s="160" t="s">
        <v>77</v>
      </c>
      <c r="C7" s="8" t="str">
        <f>Gia_VLieu!C4</f>
        <v>gram</v>
      </c>
      <c r="D7" s="86">
        <f>Gia_VLieu!D4</f>
        <v>45000</v>
      </c>
      <c r="E7" s="43">
        <v>4</v>
      </c>
      <c r="F7" s="21">
        <f t="shared" ref="F7:F17" si="0">D7*E7</f>
        <v>180000</v>
      </c>
      <c r="H7" s="12">
        <v>3</v>
      </c>
    </row>
    <row r="8" spans="1:8" s="5" customFormat="1">
      <c r="A8" s="15">
        <v>2</v>
      </c>
      <c r="B8" s="160" t="s">
        <v>78</v>
      </c>
      <c r="C8" s="8" t="str">
        <f>Gia_VLieu!C5</f>
        <v>hộp</v>
      </c>
      <c r="D8" s="86">
        <f>Gia_VLieu!D5</f>
        <v>1450000</v>
      </c>
      <c r="E8" s="43">
        <v>0.3</v>
      </c>
      <c r="F8" s="21">
        <f t="shared" si="0"/>
        <v>435000</v>
      </c>
      <c r="H8" s="12">
        <v>4</v>
      </c>
    </row>
    <row r="9" spans="1:8" s="5" customFormat="1">
      <c r="A9" s="15">
        <v>3</v>
      </c>
      <c r="B9" s="160" t="s">
        <v>79</v>
      </c>
      <c r="C9" s="8" t="str">
        <f>Gia_VLieu!C6</f>
        <v>hộp</v>
      </c>
      <c r="D9" s="86">
        <f>Gia_VLieu!D6</f>
        <v>250000</v>
      </c>
      <c r="E9" s="43">
        <v>0.2</v>
      </c>
      <c r="F9" s="21">
        <f t="shared" si="0"/>
        <v>50000</v>
      </c>
      <c r="H9" s="12">
        <v>5</v>
      </c>
    </row>
    <row r="10" spans="1:8" s="5" customFormat="1">
      <c r="A10" s="15">
        <v>4</v>
      </c>
      <c r="B10" s="160" t="s">
        <v>80</v>
      </c>
      <c r="C10" s="8" t="str">
        <f>Gia_VLieu!C7</f>
        <v>quyển</v>
      </c>
      <c r="D10" s="86">
        <f>Gia_VLieu!D7</f>
        <v>10000</v>
      </c>
      <c r="E10" s="43">
        <v>12</v>
      </c>
      <c r="F10" s="21">
        <f t="shared" si="0"/>
        <v>120000</v>
      </c>
      <c r="H10" s="12">
        <v>6</v>
      </c>
    </row>
    <row r="11" spans="1:8" s="5" customFormat="1">
      <c r="A11" s="15">
        <v>5</v>
      </c>
      <c r="B11" s="160" t="s">
        <v>21</v>
      </c>
      <c r="C11" s="8" t="str">
        <f>Gia_VLieu!C8</f>
        <v>cái</v>
      </c>
      <c r="D11" s="86">
        <f>Gia_VLieu!D8</f>
        <v>2000</v>
      </c>
      <c r="E11" s="43">
        <v>25</v>
      </c>
      <c r="F11" s="21">
        <f t="shared" si="0"/>
        <v>50000</v>
      </c>
      <c r="H11" s="12">
        <v>7</v>
      </c>
    </row>
    <row r="12" spans="1:8" s="5" customFormat="1">
      <c r="A12" s="15">
        <v>6</v>
      </c>
      <c r="B12" s="7" t="s">
        <v>82</v>
      </c>
      <c r="C12" s="8" t="str">
        <f>Gia_VLieu!C9</f>
        <v>cái</v>
      </c>
      <c r="D12" s="86">
        <f>Gia_VLieu!D9</f>
        <v>8000</v>
      </c>
      <c r="E12" s="43">
        <v>20</v>
      </c>
      <c r="F12" s="21">
        <f t="shared" si="0"/>
        <v>160000</v>
      </c>
      <c r="H12" s="12">
        <v>8</v>
      </c>
    </row>
    <row r="13" spans="1:8" s="5" customFormat="1">
      <c r="A13" s="15">
        <v>7</v>
      </c>
      <c r="B13" s="7" t="s">
        <v>83</v>
      </c>
      <c r="C13" s="8" t="str">
        <f>Gia_VLieu!C10</f>
        <v>cái</v>
      </c>
      <c r="D13" s="86">
        <f>Gia_VLieu!D10</f>
        <v>10000</v>
      </c>
      <c r="E13" s="43">
        <v>20</v>
      </c>
      <c r="F13" s="21">
        <f t="shared" si="0"/>
        <v>200000</v>
      </c>
      <c r="H13" s="12">
        <v>9</v>
      </c>
    </row>
    <row r="14" spans="1:8" s="5" customFormat="1">
      <c r="A14" s="15">
        <v>8</v>
      </c>
      <c r="B14" s="7" t="s">
        <v>84</v>
      </c>
      <c r="C14" s="8" t="str">
        <f>Gia_VLieu!C11</f>
        <v>hộp</v>
      </c>
      <c r="D14" s="86">
        <f>Gia_VLieu!D11</f>
        <v>2500</v>
      </c>
      <c r="E14" s="43">
        <v>8</v>
      </c>
      <c r="F14" s="21">
        <f t="shared" si="0"/>
        <v>20000</v>
      </c>
      <c r="H14" s="12">
        <v>10</v>
      </c>
    </row>
    <row r="15" spans="1:8" s="5" customFormat="1">
      <c r="A15" s="15">
        <v>9</v>
      </c>
      <c r="B15" s="160" t="s">
        <v>85</v>
      </c>
      <c r="C15" s="8" t="str">
        <f>Gia_VLieu!C12</f>
        <v>hộp</v>
      </c>
      <c r="D15" s="86">
        <f>Gia_VLieu!D12</f>
        <v>2000</v>
      </c>
      <c r="E15" s="43">
        <v>2</v>
      </c>
      <c r="F15" s="21">
        <f t="shared" si="0"/>
        <v>4000</v>
      </c>
      <c r="H15" s="12">
        <v>11</v>
      </c>
    </row>
    <row r="16" spans="1:8" s="5" customFormat="1">
      <c r="A16" s="15">
        <v>10</v>
      </c>
      <c r="B16" s="160" t="s">
        <v>86</v>
      </c>
      <c r="C16" s="8" t="str">
        <f>Gia_VLieu!C13</f>
        <v>tập</v>
      </c>
      <c r="D16" s="86">
        <f>Gia_VLieu!D13</f>
        <v>8000</v>
      </c>
      <c r="E16" s="43">
        <v>5</v>
      </c>
      <c r="F16" s="21">
        <f t="shared" si="0"/>
        <v>40000</v>
      </c>
      <c r="H16" s="12">
        <v>12</v>
      </c>
    </row>
    <row r="17" spans="1:8" s="5" customFormat="1">
      <c r="A17" s="57">
        <v>11</v>
      </c>
      <c r="B17" s="176" t="s">
        <v>87</v>
      </c>
      <c r="C17" s="59" t="str">
        <f>Gia_VLieu!C14</f>
        <v>cái</v>
      </c>
      <c r="D17" s="87">
        <f>Gia_VLieu!D14</f>
        <v>15000</v>
      </c>
      <c r="E17" s="64">
        <v>8</v>
      </c>
      <c r="F17" s="55">
        <f t="shared" si="0"/>
        <v>120000</v>
      </c>
      <c r="H17" s="12">
        <v>13</v>
      </c>
    </row>
    <row r="18" spans="1:8" s="46" customFormat="1">
      <c r="A18" s="44" t="e">
        <f>#REF!</f>
        <v>#REF!</v>
      </c>
      <c r="B18" s="45" t="e">
        <f>#REF!</f>
        <v>#REF!</v>
      </c>
      <c r="C18" s="20"/>
      <c r="D18" s="151">
        <f>Gia_VLieu!D$16</f>
        <v>1</v>
      </c>
      <c r="E18" s="63"/>
      <c r="F18" s="23">
        <f>SUM(F19:F29)*D18</f>
        <v>1469000</v>
      </c>
      <c r="H18" s="12">
        <v>14</v>
      </c>
    </row>
    <row r="19" spans="1:8" s="5" customFormat="1">
      <c r="A19" s="15">
        <v>1</v>
      </c>
      <c r="B19" s="7" t="s">
        <v>77</v>
      </c>
      <c r="C19" s="8" t="str">
        <f>Gia_VLieu!C4</f>
        <v>gram</v>
      </c>
      <c r="D19" s="86">
        <f>Gia_VLieu!D4</f>
        <v>45000</v>
      </c>
      <c r="E19" s="43">
        <v>5</v>
      </c>
      <c r="F19" s="21">
        <f t="shared" ref="F19:F29" si="1">D19*E19</f>
        <v>225000</v>
      </c>
      <c r="H19" s="12">
        <v>15</v>
      </c>
    </row>
    <row r="20" spans="1:8" s="5" customFormat="1">
      <c r="A20" s="15">
        <v>2</v>
      </c>
      <c r="B20" s="7" t="s">
        <v>78</v>
      </c>
      <c r="C20" s="8" t="str">
        <f>Gia_VLieu!C5</f>
        <v>hộp</v>
      </c>
      <c r="D20" s="86">
        <f>Gia_VLieu!D5</f>
        <v>1450000</v>
      </c>
      <c r="E20" s="43">
        <v>0.2</v>
      </c>
      <c r="F20" s="21">
        <f t="shared" si="1"/>
        <v>290000</v>
      </c>
      <c r="H20" s="12">
        <v>16</v>
      </c>
    </row>
    <row r="21" spans="1:8" s="5" customFormat="1">
      <c r="A21" s="15">
        <v>3</v>
      </c>
      <c r="B21" s="7" t="s">
        <v>79</v>
      </c>
      <c r="C21" s="8" t="str">
        <f>Gia_VLieu!C6</f>
        <v>hộp</v>
      </c>
      <c r="D21" s="86">
        <f>Gia_VLieu!D6</f>
        <v>250000</v>
      </c>
      <c r="E21" s="43">
        <v>0.3</v>
      </c>
      <c r="F21" s="21">
        <f t="shared" si="1"/>
        <v>75000</v>
      </c>
      <c r="H21" s="12">
        <v>17</v>
      </c>
    </row>
    <row r="22" spans="1:8" s="5" customFormat="1">
      <c r="A22" s="15">
        <v>4</v>
      </c>
      <c r="B22" s="7" t="s">
        <v>80</v>
      </c>
      <c r="C22" s="8" t="str">
        <f>Gia_VLieu!C7</f>
        <v>quyển</v>
      </c>
      <c r="D22" s="86">
        <f>Gia_VLieu!D7</f>
        <v>10000</v>
      </c>
      <c r="E22" s="43">
        <v>4</v>
      </c>
      <c r="F22" s="21">
        <f t="shared" si="1"/>
        <v>40000</v>
      </c>
      <c r="H22" s="12">
        <v>18</v>
      </c>
    </row>
    <row r="23" spans="1:8" s="5" customFormat="1">
      <c r="A23" s="15">
        <v>5</v>
      </c>
      <c r="B23" s="7" t="s">
        <v>21</v>
      </c>
      <c r="C23" s="8" t="str">
        <f>Gia_VLieu!C8</f>
        <v>cái</v>
      </c>
      <c r="D23" s="86">
        <f>Gia_VLieu!D8</f>
        <v>2000</v>
      </c>
      <c r="E23" s="43">
        <v>15</v>
      </c>
      <c r="F23" s="21">
        <f t="shared" si="1"/>
        <v>30000</v>
      </c>
      <c r="H23" s="12">
        <v>19</v>
      </c>
    </row>
    <row r="24" spans="1:8" s="5" customFormat="1">
      <c r="A24" s="15">
        <v>6</v>
      </c>
      <c r="B24" s="7" t="s">
        <v>82</v>
      </c>
      <c r="C24" s="8" t="str">
        <f>Gia_VLieu!C9</f>
        <v>cái</v>
      </c>
      <c r="D24" s="86">
        <f>Gia_VLieu!D9</f>
        <v>8000</v>
      </c>
      <c r="E24" s="43">
        <v>25</v>
      </c>
      <c r="F24" s="21">
        <f t="shared" si="1"/>
        <v>200000</v>
      </c>
      <c r="H24" s="12">
        <v>20</v>
      </c>
    </row>
    <row r="25" spans="1:8" s="5" customFormat="1">
      <c r="A25" s="15">
        <v>7</v>
      </c>
      <c r="B25" s="7" t="s">
        <v>83</v>
      </c>
      <c r="C25" s="8" t="str">
        <f>Gia_VLieu!C10</f>
        <v>cái</v>
      </c>
      <c r="D25" s="86">
        <f>Gia_VLieu!D10</f>
        <v>10000</v>
      </c>
      <c r="E25" s="43">
        <v>25</v>
      </c>
      <c r="F25" s="21">
        <f t="shared" si="1"/>
        <v>250000</v>
      </c>
      <c r="H25" s="12">
        <v>21</v>
      </c>
    </row>
    <row r="26" spans="1:8" s="5" customFormat="1">
      <c r="A26" s="15">
        <v>8</v>
      </c>
      <c r="B26" s="7" t="s">
        <v>84</v>
      </c>
      <c r="C26" s="8" t="str">
        <f>Gia_VLieu!C11</f>
        <v>hộp</v>
      </c>
      <c r="D26" s="86">
        <f>Gia_VLieu!D11</f>
        <v>2500</v>
      </c>
      <c r="E26" s="43">
        <v>6</v>
      </c>
      <c r="F26" s="21">
        <f t="shared" si="1"/>
        <v>15000</v>
      </c>
      <c r="H26" s="12">
        <v>22</v>
      </c>
    </row>
    <row r="27" spans="1:8" s="5" customFormat="1">
      <c r="A27" s="15">
        <v>9</v>
      </c>
      <c r="B27" s="7" t="s">
        <v>85</v>
      </c>
      <c r="C27" s="8" t="str">
        <f>Gia_VLieu!C12</f>
        <v>hộp</v>
      </c>
      <c r="D27" s="86">
        <f>Gia_VLieu!D12</f>
        <v>2000</v>
      </c>
      <c r="E27" s="43">
        <v>6</v>
      </c>
      <c r="F27" s="21">
        <f t="shared" si="1"/>
        <v>12000</v>
      </c>
      <c r="H27" s="12">
        <v>23</v>
      </c>
    </row>
    <row r="28" spans="1:8" s="5" customFormat="1">
      <c r="A28" s="15">
        <v>10</v>
      </c>
      <c r="B28" s="7" t="s">
        <v>86</v>
      </c>
      <c r="C28" s="8" t="str">
        <f>Gia_VLieu!C13</f>
        <v>tập</v>
      </c>
      <c r="D28" s="86">
        <f>Gia_VLieu!D13</f>
        <v>8000</v>
      </c>
      <c r="E28" s="43">
        <v>4</v>
      </c>
      <c r="F28" s="21">
        <f t="shared" si="1"/>
        <v>32000</v>
      </c>
      <c r="H28" s="12">
        <v>24</v>
      </c>
    </row>
    <row r="29" spans="1:8" s="5" customFormat="1">
      <c r="A29" s="57">
        <v>11</v>
      </c>
      <c r="B29" s="58" t="s">
        <v>87</v>
      </c>
      <c r="C29" s="59" t="str">
        <f>Gia_VLieu!C14</f>
        <v>cái</v>
      </c>
      <c r="D29" s="87">
        <f>Gia_VLieu!D14</f>
        <v>15000</v>
      </c>
      <c r="E29" s="64">
        <v>20</v>
      </c>
      <c r="F29" s="55">
        <f t="shared" si="1"/>
        <v>300000</v>
      </c>
      <c r="H29" s="12">
        <v>25</v>
      </c>
    </row>
    <row r="30" spans="1:8" s="16" customFormat="1">
      <c r="A30" s="14" t="e">
        <f>#REF!</f>
        <v>#REF!</v>
      </c>
      <c r="B30" s="10" t="e">
        <f>#REF!</f>
        <v>#REF!</v>
      </c>
      <c r="C30" s="9"/>
      <c r="D30" s="92"/>
      <c r="E30" s="66"/>
      <c r="F30" s="22"/>
      <c r="H30" s="12">
        <v>26</v>
      </c>
    </row>
    <row r="31" spans="1:8" s="46" customFormat="1">
      <c r="A31" s="44" t="e">
        <f>#REF!</f>
        <v>#REF!</v>
      </c>
      <c r="B31" s="45" t="e">
        <f>#REF!</f>
        <v>#REF!</v>
      </c>
      <c r="C31" s="20"/>
      <c r="D31" s="90"/>
      <c r="E31" s="63"/>
      <c r="F31" s="23"/>
      <c r="H31" s="12">
        <v>27</v>
      </c>
    </row>
    <row r="32" spans="1:8" s="5" customFormat="1">
      <c r="A32" s="15" t="e">
        <f>#REF!</f>
        <v>#REF!</v>
      </c>
      <c r="B32" s="7" t="e">
        <f>#REF!</f>
        <v>#REF!</v>
      </c>
      <c r="C32" s="8"/>
      <c r="D32" s="151">
        <f>Gia_VLieu!D$16</f>
        <v>1</v>
      </c>
      <c r="E32" s="63"/>
      <c r="F32" s="23">
        <f>SUM(F33:F43)*D32</f>
        <v>384500</v>
      </c>
      <c r="H32" s="12">
        <v>28</v>
      </c>
    </row>
    <row r="33" spans="1:8" s="5" customFormat="1">
      <c r="A33" s="15">
        <v>1</v>
      </c>
      <c r="B33" s="7" t="s">
        <v>77</v>
      </c>
      <c r="C33" s="8" t="str">
        <f>Gia_VLieu!C4</f>
        <v>gram</v>
      </c>
      <c r="D33" s="86">
        <f>Gia_VLieu!D4</f>
        <v>45000</v>
      </c>
      <c r="E33" s="43">
        <v>1</v>
      </c>
      <c r="F33" s="21">
        <f t="shared" ref="F33:F43" si="2">D33*E33</f>
        <v>45000</v>
      </c>
      <c r="H33" s="12">
        <v>29</v>
      </c>
    </row>
    <row r="34" spans="1:8" s="5" customFormat="1">
      <c r="A34" s="15">
        <v>2</v>
      </c>
      <c r="B34" s="7" t="s">
        <v>78</v>
      </c>
      <c r="C34" s="8" t="str">
        <f>Gia_VLieu!C5</f>
        <v>hộp</v>
      </c>
      <c r="D34" s="86">
        <f>Gia_VLieu!D5</f>
        <v>1450000</v>
      </c>
      <c r="E34" s="43">
        <v>0.1</v>
      </c>
      <c r="F34" s="21">
        <f t="shared" si="2"/>
        <v>145000</v>
      </c>
      <c r="H34" s="12">
        <v>30</v>
      </c>
    </row>
    <row r="35" spans="1:8" s="5" customFormat="1">
      <c r="A35" s="15">
        <v>3</v>
      </c>
      <c r="B35" s="7" t="s">
        <v>79</v>
      </c>
      <c r="C35" s="8" t="str">
        <f>Gia_VLieu!C6</f>
        <v>hộp</v>
      </c>
      <c r="D35" s="86">
        <f>Gia_VLieu!D6</f>
        <v>250000</v>
      </c>
      <c r="E35" s="43">
        <v>0.05</v>
      </c>
      <c r="F35" s="21">
        <f t="shared" si="2"/>
        <v>12500</v>
      </c>
      <c r="H35" s="12">
        <v>31</v>
      </c>
    </row>
    <row r="36" spans="1:8" s="5" customFormat="1">
      <c r="A36" s="15">
        <v>4</v>
      </c>
      <c r="B36" s="7" t="s">
        <v>80</v>
      </c>
      <c r="C36" s="8" t="str">
        <f>Gia_VLieu!C7</f>
        <v>quyển</v>
      </c>
      <c r="D36" s="86">
        <f>Gia_VLieu!D7</f>
        <v>10000</v>
      </c>
      <c r="E36" s="43">
        <v>8</v>
      </c>
      <c r="F36" s="21">
        <f t="shared" si="2"/>
        <v>80000</v>
      </c>
      <c r="H36" s="12">
        <v>32</v>
      </c>
    </row>
    <row r="37" spans="1:8" s="5" customFormat="1">
      <c r="A37" s="15">
        <v>5</v>
      </c>
      <c r="B37" s="7" t="s">
        <v>21</v>
      </c>
      <c r="C37" s="8" t="str">
        <f>Gia_VLieu!C8</f>
        <v>cái</v>
      </c>
      <c r="D37" s="86">
        <f>Gia_VLieu!D8</f>
        <v>2000</v>
      </c>
      <c r="E37" s="43">
        <v>15</v>
      </c>
      <c r="F37" s="21">
        <f t="shared" si="2"/>
        <v>30000</v>
      </c>
      <c r="H37" s="12">
        <v>33</v>
      </c>
    </row>
    <row r="38" spans="1:8" s="5" customFormat="1" hidden="1">
      <c r="A38" s="15">
        <v>6</v>
      </c>
      <c r="B38" s="7" t="s">
        <v>82</v>
      </c>
      <c r="C38" s="8" t="str">
        <f>Gia_VLieu!C9</f>
        <v>cái</v>
      </c>
      <c r="D38" s="86">
        <f>Gia_VLieu!D9</f>
        <v>8000</v>
      </c>
      <c r="E38" s="43"/>
      <c r="F38" s="21">
        <f t="shared" si="2"/>
        <v>0</v>
      </c>
      <c r="H38" s="12">
        <v>34</v>
      </c>
    </row>
    <row r="39" spans="1:8" s="5" customFormat="1" hidden="1">
      <c r="A39" s="15">
        <v>7</v>
      </c>
      <c r="B39" s="7" t="s">
        <v>83</v>
      </c>
      <c r="C39" s="8" t="str">
        <f>Gia_VLieu!C10</f>
        <v>cái</v>
      </c>
      <c r="D39" s="86">
        <f>Gia_VLieu!D10</f>
        <v>10000</v>
      </c>
      <c r="E39" s="43"/>
      <c r="F39" s="21">
        <f t="shared" si="2"/>
        <v>0</v>
      </c>
      <c r="H39" s="12">
        <v>35</v>
      </c>
    </row>
    <row r="40" spans="1:8" s="5" customFormat="1" hidden="1">
      <c r="A40" s="15">
        <v>8</v>
      </c>
      <c r="B40" s="7" t="s">
        <v>84</v>
      </c>
      <c r="C40" s="8" t="str">
        <f>Gia_VLieu!C11</f>
        <v>hộp</v>
      </c>
      <c r="D40" s="86">
        <f>Gia_VLieu!D11</f>
        <v>2500</v>
      </c>
      <c r="E40" s="43"/>
      <c r="F40" s="21">
        <f t="shared" si="2"/>
        <v>0</v>
      </c>
      <c r="H40" s="12">
        <v>36</v>
      </c>
    </row>
    <row r="41" spans="1:8" s="5" customFormat="1">
      <c r="A41" s="15">
        <v>6</v>
      </c>
      <c r="B41" s="7" t="s">
        <v>85</v>
      </c>
      <c r="C41" s="8" t="str">
        <f>Gia_VLieu!C12</f>
        <v>hộp</v>
      </c>
      <c r="D41" s="86">
        <f>Gia_VLieu!D12</f>
        <v>2000</v>
      </c>
      <c r="E41" s="43">
        <v>2</v>
      </c>
      <c r="F41" s="21">
        <f t="shared" si="2"/>
        <v>4000</v>
      </c>
      <c r="H41" s="12">
        <v>37</v>
      </c>
    </row>
    <row r="42" spans="1:8" s="5" customFormat="1">
      <c r="A42" s="15">
        <v>7</v>
      </c>
      <c r="B42" s="7" t="s">
        <v>86</v>
      </c>
      <c r="C42" s="8" t="str">
        <f>Gia_VLieu!C13</f>
        <v>tập</v>
      </c>
      <c r="D42" s="86">
        <f>Gia_VLieu!D13</f>
        <v>8000</v>
      </c>
      <c r="E42" s="43">
        <v>1</v>
      </c>
      <c r="F42" s="21">
        <f t="shared" si="2"/>
        <v>8000</v>
      </c>
      <c r="H42" s="12">
        <v>38</v>
      </c>
    </row>
    <row r="43" spans="1:8" s="5" customFormat="1">
      <c r="A43" s="57">
        <v>8</v>
      </c>
      <c r="B43" s="58" t="s">
        <v>87</v>
      </c>
      <c r="C43" s="59" t="str">
        <f>Gia_VLieu!C14</f>
        <v>cái</v>
      </c>
      <c r="D43" s="87">
        <f>Gia_VLieu!D14</f>
        <v>15000</v>
      </c>
      <c r="E43" s="64">
        <v>4</v>
      </c>
      <c r="F43" s="55">
        <f t="shared" si="2"/>
        <v>60000</v>
      </c>
      <c r="H43" s="12">
        <v>39</v>
      </c>
    </row>
    <row r="44" spans="1:8" s="5" customFormat="1">
      <c r="A44" s="15" t="e">
        <f>#REF!</f>
        <v>#REF!</v>
      </c>
      <c r="B44" s="7" t="e">
        <f>#REF!</f>
        <v>#REF!</v>
      </c>
      <c r="C44" s="8"/>
      <c r="D44" s="151">
        <f>Gia_VLieu!D$16</f>
        <v>1</v>
      </c>
      <c r="E44" s="63"/>
      <c r="F44" s="23">
        <f>SUM(F45:F55)*D44</f>
        <v>567500</v>
      </c>
      <c r="H44" s="12">
        <v>40</v>
      </c>
    </row>
    <row r="45" spans="1:8" s="5" customFormat="1">
      <c r="A45" s="15">
        <v>1</v>
      </c>
      <c r="B45" s="7" t="s">
        <v>77</v>
      </c>
      <c r="C45" s="8" t="str">
        <f>Gia_VLieu!C4</f>
        <v>gram</v>
      </c>
      <c r="D45" s="86">
        <f>Gia_VLieu!D4</f>
        <v>45000</v>
      </c>
      <c r="E45" s="43">
        <v>1</v>
      </c>
      <c r="F45" s="21">
        <f t="shared" ref="F45:F55" si="3">D45*E45</f>
        <v>45000</v>
      </c>
      <c r="H45" s="12">
        <v>41</v>
      </c>
    </row>
    <row r="46" spans="1:8" s="5" customFormat="1">
      <c r="A46" s="15">
        <v>2</v>
      </c>
      <c r="B46" s="7" t="s">
        <v>78</v>
      </c>
      <c r="C46" s="8" t="str">
        <f>Gia_VLieu!C5</f>
        <v>hộp</v>
      </c>
      <c r="D46" s="86">
        <f>Gia_VLieu!D5</f>
        <v>1450000</v>
      </c>
      <c r="E46" s="43">
        <v>0.15</v>
      </c>
      <c r="F46" s="21">
        <f t="shared" si="3"/>
        <v>217500</v>
      </c>
      <c r="H46" s="12">
        <v>42</v>
      </c>
    </row>
    <row r="47" spans="1:8" s="5" customFormat="1">
      <c r="A47" s="15">
        <v>3</v>
      </c>
      <c r="B47" s="7" t="s">
        <v>79</v>
      </c>
      <c r="C47" s="8" t="str">
        <f>Gia_VLieu!C6</f>
        <v>hộp</v>
      </c>
      <c r="D47" s="86">
        <f>Gia_VLieu!D6</f>
        <v>250000</v>
      </c>
      <c r="E47" s="43">
        <v>0.2</v>
      </c>
      <c r="F47" s="21">
        <f t="shared" si="3"/>
        <v>50000</v>
      </c>
      <c r="H47" s="12">
        <v>43</v>
      </c>
    </row>
    <row r="48" spans="1:8" s="5" customFormat="1">
      <c r="A48" s="15">
        <v>4</v>
      </c>
      <c r="B48" s="7" t="s">
        <v>80</v>
      </c>
      <c r="C48" s="8" t="str">
        <f>Gia_VLieu!C7</f>
        <v>quyển</v>
      </c>
      <c r="D48" s="86">
        <f>Gia_VLieu!D7</f>
        <v>10000</v>
      </c>
      <c r="E48" s="43">
        <v>12</v>
      </c>
      <c r="F48" s="21">
        <f t="shared" si="3"/>
        <v>120000</v>
      </c>
      <c r="H48" s="12">
        <v>44</v>
      </c>
    </row>
    <row r="49" spans="1:8" s="5" customFormat="1">
      <c r="A49" s="15">
        <v>5</v>
      </c>
      <c r="B49" s="7" t="s">
        <v>21</v>
      </c>
      <c r="C49" s="8" t="str">
        <f>Gia_VLieu!C8</f>
        <v>cái</v>
      </c>
      <c r="D49" s="86">
        <f>Gia_VLieu!D8</f>
        <v>2000</v>
      </c>
      <c r="E49" s="43">
        <v>20</v>
      </c>
      <c r="F49" s="21">
        <f t="shared" si="3"/>
        <v>40000</v>
      </c>
      <c r="H49" s="12">
        <v>45</v>
      </c>
    </row>
    <row r="50" spans="1:8" s="5" customFormat="1" hidden="1">
      <c r="A50" s="15">
        <v>6</v>
      </c>
      <c r="B50" s="7" t="s">
        <v>82</v>
      </c>
      <c r="C50" s="8" t="str">
        <f>Gia_VLieu!C9</f>
        <v>cái</v>
      </c>
      <c r="D50" s="86">
        <f>Gia_VLieu!D9</f>
        <v>8000</v>
      </c>
      <c r="E50" s="43"/>
      <c r="F50" s="21">
        <f t="shared" si="3"/>
        <v>0</v>
      </c>
      <c r="H50" s="12">
        <v>46</v>
      </c>
    </row>
    <row r="51" spans="1:8" s="5" customFormat="1" hidden="1">
      <c r="A51" s="15">
        <v>7</v>
      </c>
      <c r="B51" s="7" t="s">
        <v>83</v>
      </c>
      <c r="C51" s="8" t="str">
        <f>Gia_VLieu!C10</f>
        <v>cái</v>
      </c>
      <c r="D51" s="86">
        <f>Gia_VLieu!D10</f>
        <v>10000</v>
      </c>
      <c r="E51" s="43"/>
      <c r="F51" s="21">
        <f t="shared" si="3"/>
        <v>0</v>
      </c>
      <c r="H51" s="12">
        <v>47</v>
      </c>
    </row>
    <row r="52" spans="1:8" s="5" customFormat="1" hidden="1">
      <c r="A52" s="15">
        <v>8</v>
      </c>
      <c r="B52" s="7" t="s">
        <v>84</v>
      </c>
      <c r="C52" s="8" t="str">
        <f>Gia_VLieu!C11</f>
        <v>hộp</v>
      </c>
      <c r="D52" s="86">
        <f>Gia_VLieu!D11</f>
        <v>2500</v>
      </c>
      <c r="E52" s="43"/>
      <c r="F52" s="21">
        <f t="shared" si="3"/>
        <v>0</v>
      </c>
      <c r="H52" s="12">
        <v>48</v>
      </c>
    </row>
    <row r="53" spans="1:8" s="5" customFormat="1">
      <c r="A53" s="15">
        <v>6</v>
      </c>
      <c r="B53" s="7" t="s">
        <v>85</v>
      </c>
      <c r="C53" s="8" t="str">
        <f>Gia_VLieu!C12</f>
        <v>hộp</v>
      </c>
      <c r="D53" s="86">
        <f>Gia_VLieu!D12</f>
        <v>2000</v>
      </c>
      <c r="E53" s="43">
        <v>2</v>
      </c>
      <c r="F53" s="21">
        <f t="shared" si="3"/>
        <v>4000</v>
      </c>
      <c r="H53" s="12">
        <v>49</v>
      </c>
    </row>
    <row r="54" spans="1:8" s="5" customFormat="1">
      <c r="A54" s="15">
        <v>7</v>
      </c>
      <c r="B54" s="7" t="s">
        <v>86</v>
      </c>
      <c r="C54" s="8" t="str">
        <f>Gia_VLieu!C13</f>
        <v>tập</v>
      </c>
      <c r="D54" s="86">
        <f>Gia_VLieu!D13</f>
        <v>8000</v>
      </c>
      <c r="E54" s="43">
        <v>2</v>
      </c>
      <c r="F54" s="21">
        <f t="shared" si="3"/>
        <v>16000</v>
      </c>
      <c r="H54" s="12">
        <v>50</v>
      </c>
    </row>
    <row r="55" spans="1:8" s="5" customFormat="1">
      <c r="A55" s="57">
        <v>8</v>
      </c>
      <c r="B55" s="58" t="s">
        <v>87</v>
      </c>
      <c r="C55" s="59" t="str">
        <f>Gia_VLieu!C14</f>
        <v>cái</v>
      </c>
      <c r="D55" s="87">
        <f>Gia_VLieu!D14</f>
        <v>15000</v>
      </c>
      <c r="E55" s="64">
        <v>5</v>
      </c>
      <c r="F55" s="55">
        <f t="shared" si="3"/>
        <v>75000</v>
      </c>
      <c r="H55" s="12">
        <v>51</v>
      </c>
    </row>
    <row r="56" spans="1:8" s="46" customFormat="1">
      <c r="A56" s="44" t="e">
        <f>#REF!</f>
        <v>#REF!</v>
      </c>
      <c r="B56" s="45" t="e">
        <f>#REF!</f>
        <v>#REF!</v>
      </c>
      <c r="C56" s="20"/>
      <c r="D56" s="151">
        <f>Gia_VLieu!D$16</f>
        <v>1</v>
      </c>
      <c r="E56" s="63"/>
      <c r="F56" s="23">
        <f>SUM(F57:F67)*D56</f>
        <v>447500</v>
      </c>
      <c r="H56" s="12">
        <v>52</v>
      </c>
    </row>
    <row r="57" spans="1:8" s="5" customFormat="1">
      <c r="A57" s="15">
        <v>1</v>
      </c>
      <c r="B57" s="7" t="s">
        <v>77</v>
      </c>
      <c r="C57" s="8" t="str">
        <f>Gia_VLieu!C4</f>
        <v>gram</v>
      </c>
      <c r="D57" s="86">
        <f>Gia_VLieu!D4</f>
        <v>45000</v>
      </c>
      <c r="E57" s="43">
        <v>0.5</v>
      </c>
      <c r="F57" s="21">
        <f t="shared" ref="F57:F67" si="4">D57*E57</f>
        <v>22500</v>
      </c>
      <c r="H57" s="12">
        <v>53</v>
      </c>
    </row>
    <row r="58" spans="1:8" s="5" customFormat="1">
      <c r="A58" s="15">
        <v>2</v>
      </c>
      <c r="B58" s="7" t="s">
        <v>78</v>
      </c>
      <c r="C58" s="8" t="str">
        <f>Gia_VLieu!C5</f>
        <v>hộp</v>
      </c>
      <c r="D58" s="86">
        <f>Gia_VLieu!D5</f>
        <v>1450000</v>
      </c>
      <c r="E58" s="43">
        <v>0.05</v>
      </c>
      <c r="F58" s="21">
        <f t="shared" si="4"/>
        <v>72500</v>
      </c>
      <c r="H58" s="12">
        <v>54</v>
      </c>
    </row>
    <row r="59" spans="1:8" s="5" customFormat="1">
      <c r="A59" s="15">
        <v>3</v>
      </c>
      <c r="B59" s="7" t="s">
        <v>79</v>
      </c>
      <c r="C59" s="8" t="str">
        <f>Gia_VLieu!C6</f>
        <v>hộp</v>
      </c>
      <c r="D59" s="86">
        <f>Gia_VLieu!D6</f>
        <v>250000</v>
      </c>
      <c r="E59" s="43">
        <v>0.05</v>
      </c>
      <c r="F59" s="21">
        <f t="shared" si="4"/>
        <v>12500</v>
      </c>
      <c r="H59" s="12">
        <v>55</v>
      </c>
    </row>
    <row r="60" spans="1:8" s="5" customFormat="1">
      <c r="A60" s="15">
        <v>4</v>
      </c>
      <c r="B60" s="7" t="s">
        <v>80</v>
      </c>
      <c r="C60" s="8" t="str">
        <f>Gia_VLieu!C7</f>
        <v>quyển</v>
      </c>
      <c r="D60" s="86">
        <f>Gia_VLieu!D7</f>
        <v>10000</v>
      </c>
      <c r="E60" s="43">
        <v>10</v>
      </c>
      <c r="F60" s="21">
        <f t="shared" si="4"/>
        <v>100000</v>
      </c>
      <c r="H60" s="12">
        <v>56</v>
      </c>
    </row>
    <row r="61" spans="1:8" s="5" customFormat="1">
      <c r="A61" s="15">
        <v>5</v>
      </c>
      <c r="B61" s="7" t="s">
        <v>21</v>
      </c>
      <c r="C61" s="8" t="str">
        <f>Gia_VLieu!C8</f>
        <v>cái</v>
      </c>
      <c r="D61" s="86">
        <f>Gia_VLieu!D8</f>
        <v>2000</v>
      </c>
      <c r="E61" s="43">
        <v>20</v>
      </c>
      <c r="F61" s="21">
        <f t="shared" si="4"/>
        <v>40000</v>
      </c>
      <c r="H61" s="12">
        <v>57</v>
      </c>
    </row>
    <row r="62" spans="1:8" s="5" customFormat="1" hidden="1">
      <c r="A62" s="15">
        <v>6</v>
      </c>
      <c r="B62" s="7" t="s">
        <v>82</v>
      </c>
      <c r="C62" s="8" t="str">
        <f>Gia_VLieu!C9</f>
        <v>cái</v>
      </c>
      <c r="D62" s="86">
        <f>Gia_VLieu!D9</f>
        <v>8000</v>
      </c>
      <c r="E62" s="43"/>
      <c r="F62" s="21">
        <f t="shared" si="4"/>
        <v>0</v>
      </c>
      <c r="H62" s="12">
        <v>58</v>
      </c>
    </row>
    <row r="63" spans="1:8" s="5" customFormat="1" hidden="1">
      <c r="A63" s="15">
        <v>7</v>
      </c>
      <c r="B63" s="7" t="s">
        <v>83</v>
      </c>
      <c r="C63" s="8" t="str">
        <f>Gia_VLieu!C10</f>
        <v>cái</v>
      </c>
      <c r="D63" s="86">
        <f>Gia_VLieu!D10</f>
        <v>10000</v>
      </c>
      <c r="E63" s="43"/>
      <c r="F63" s="21">
        <f t="shared" si="4"/>
        <v>0</v>
      </c>
      <c r="H63" s="12">
        <v>59</v>
      </c>
    </row>
    <row r="64" spans="1:8" s="5" customFormat="1" hidden="1">
      <c r="A64" s="15">
        <v>8</v>
      </c>
      <c r="B64" s="7" t="s">
        <v>84</v>
      </c>
      <c r="C64" s="8" t="str">
        <f>Gia_VLieu!C11</f>
        <v>hộp</v>
      </c>
      <c r="D64" s="86">
        <f>Gia_VLieu!D11</f>
        <v>2500</v>
      </c>
      <c r="E64" s="43"/>
      <c r="F64" s="21">
        <f t="shared" si="4"/>
        <v>0</v>
      </c>
      <c r="H64" s="12">
        <v>60</v>
      </c>
    </row>
    <row r="65" spans="1:8" s="5" customFormat="1">
      <c r="A65" s="15">
        <v>6</v>
      </c>
      <c r="B65" s="7" t="s">
        <v>85</v>
      </c>
      <c r="C65" s="8" t="str">
        <f>Gia_VLieu!C12</f>
        <v>hộp</v>
      </c>
      <c r="D65" s="86">
        <f>Gia_VLieu!D12</f>
        <v>2000</v>
      </c>
      <c r="E65" s="43">
        <v>5</v>
      </c>
      <c r="F65" s="21">
        <f t="shared" si="4"/>
        <v>10000</v>
      </c>
      <c r="H65" s="12">
        <v>61</v>
      </c>
    </row>
    <row r="66" spans="1:8" s="5" customFormat="1">
      <c r="A66" s="15">
        <v>7</v>
      </c>
      <c r="B66" s="7" t="s">
        <v>86</v>
      </c>
      <c r="C66" s="8" t="str">
        <f>Gia_VLieu!C13</f>
        <v>tập</v>
      </c>
      <c r="D66" s="86">
        <f>Gia_VLieu!D13</f>
        <v>8000</v>
      </c>
      <c r="E66" s="43">
        <v>5</v>
      </c>
      <c r="F66" s="21">
        <f t="shared" si="4"/>
        <v>40000</v>
      </c>
      <c r="H66" s="12">
        <v>62</v>
      </c>
    </row>
    <row r="67" spans="1:8" s="5" customFormat="1">
      <c r="A67" s="57">
        <v>8</v>
      </c>
      <c r="B67" s="58" t="s">
        <v>87</v>
      </c>
      <c r="C67" s="59" t="str">
        <f>Gia_VLieu!C14</f>
        <v>cái</v>
      </c>
      <c r="D67" s="87">
        <f>Gia_VLieu!D14</f>
        <v>15000</v>
      </c>
      <c r="E67" s="64">
        <v>10</v>
      </c>
      <c r="F67" s="55">
        <f t="shared" si="4"/>
        <v>150000</v>
      </c>
      <c r="H67" s="12">
        <v>63</v>
      </c>
    </row>
    <row r="68" spans="1:8" s="46" customFormat="1">
      <c r="A68" s="44" t="e">
        <f>#REF!</f>
        <v>#REF!</v>
      </c>
      <c r="B68" s="45" t="e">
        <f>#REF!</f>
        <v>#REF!</v>
      </c>
      <c r="C68" s="20"/>
      <c r="D68" s="151">
        <f>Gia_VLieu!D$16</f>
        <v>1</v>
      </c>
      <c r="E68" s="63"/>
      <c r="F68" s="23">
        <f>SUM(F69:F79)*D68</f>
        <v>461500</v>
      </c>
      <c r="H68" s="12">
        <v>64</v>
      </c>
    </row>
    <row r="69" spans="1:8" s="5" customFormat="1">
      <c r="A69" s="15">
        <v>1</v>
      </c>
      <c r="B69" s="7" t="s">
        <v>77</v>
      </c>
      <c r="C69" s="8" t="str">
        <f>Gia_VLieu!C4</f>
        <v>gram</v>
      </c>
      <c r="D69" s="86">
        <f>Gia_VLieu!D4</f>
        <v>45000</v>
      </c>
      <c r="E69" s="43">
        <v>0.8</v>
      </c>
      <c r="F69" s="21">
        <f t="shared" ref="F69:F79" si="5">D69*E69</f>
        <v>36000</v>
      </c>
      <c r="H69" s="12">
        <v>65</v>
      </c>
    </row>
    <row r="70" spans="1:8" s="5" customFormat="1">
      <c r="A70" s="15">
        <v>2</v>
      </c>
      <c r="B70" s="7" t="s">
        <v>78</v>
      </c>
      <c r="C70" s="8" t="str">
        <f>Gia_VLieu!C5</f>
        <v>hộp</v>
      </c>
      <c r="D70" s="86">
        <f>Gia_VLieu!D5</f>
        <v>1450000</v>
      </c>
      <c r="E70" s="43">
        <v>0.01</v>
      </c>
      <c r="F70" s="21">
        <f t="shared" si="5"/>
        <v>14500</v>
      </c>
      <c r="H70" s="12">
        <v>66</v>
      </c>
    </row>
    <row r="71" spans="1:8" s="5" customFormat="1">
      <c r="A71" s="15">
        <v>3</v>
      </c>
      <c r="B71" s="7" t="s">
        <v>79</v>
      </c>
      <c r="C71" s="8" t="str">
        <f>Gia_VLieu!C6</f>
        <v>hộp</v>
      </c>
      <c r="D71" s="86">
        <f>Gia_VLieu!D6</f>
        <v>250000</v>
      </c>
      <c r="E71" s="43">
        <v>0.02</v>
      </c>
      <c r="F71" s="21">
        <f t="shared" si="5"/>
        <v>5000</v>
      </c>
      <c r="H71" s="12">
        <v>67</v>
      </c>
    </row>
    <row r="72" spans="1:8" s="5" customFormat="1">
      <c r="A72" s="15">
        <v>4</v>
      </c>
      <c r="B72" s="7" t="s">
        <v>80</v>
      </c>
      <c r="C72" s="8" t="str">
        <f>Gia_VLieu!C7</f>
        <v>quyển</v>
      </c>
      <c r="D72" s="86">
        <f>Gia_VLieu!D7</f>
        <v>10000</v>
      </c>
      <c r="E72" s="43">
        <v>12</v>
      </c>
      <c r="F72" s="21">
        <f t="shared" si="5"/>
        <v>120000</v>
      </c>
      <c r="H72" s="12">
        <v>68</v>
      </c>
    </row>
    <row r="73" spans="1:8" s="5" customFormat="1">
      <c r="A73" s="15">
        <v>5</v>
      </c>
      <c r="B73" s="7" t="s">
        <v>21</v>
      </c>
      <c r="C73" s="8" t="str">
        <f>Gia_VLieu!C8</f>
        <v>cái</v>
      </c>
      <c r="D73" s="86">
        <f>Gia_VLieu!D8</f>
        <v>2000</v>
      </c>
      <c r="E73" s="43">
        <v>18</v>
      </c>
      <c r="F73" s="21">
        <f t="shared" si="5"/>
        <v>36000</v>
      </c>
      <c r="H73" s="12">
        <v>69</v>
      </c>
    </row>
    <row r="74" spans="1:8" s="5" customFormat="1" hidden="1">
      <c r="A74" s="15">
        <v>6</v>
      </c>
      <c r="B74" s="7" t="s">
        <v>82</v>
      </c>
      <c r="C74" s="8" t="str">
        <f>Gia_VLieu!C9</f>
        <v>cái</v>
      </c>
      <c r="D74" s="86">
        <f>Gia_VLieu!D9</f>
        <v>8000</v>
      </c>
      <c r="E74" s="43"/>
      <c r="F74" s="21">
        <f t="shared" si="5"/>
        <v>0</v>
      </c>
      <c r="H74" s="12">
        <v>70</v>
      </c>
    </row>
    <row r="75" spans="1:8" s="5" customFormat="1" hidden="1">
      <c r="A75" s="15">
        <v>7</v>
      </c>
      <c r="B75" s="7" t="s">
        <v>83</v>
      </c>
      <c r="C75" s="8" t="str">
        <f>Gia_VLieu!C10</f>
        <v>cái</v>
      </c>
      <c r="D75" s="86">
        <f>Gia_VLieu!D10</f>
        <v>10000</v>
      </c>
      <c r="E75" s="43"/>
      <c r="F75" s="21">
        <f t="shared" si="5"/>
        <v>0</v>
      </c>
      <c r="H75" s="12">
        <v>71</v>
      </c>
    </row>
    <row r="76" spans="1:8" s="5" customFormat="1" hidden="1">
      <c r="A76" s="15">
        <v>8</v>
      </c>
      <c r="B76" s="7" t="s">
        <v>84</v>
      </c>
      <c r="C76" s="8" t="str">
        <f>Gia_VLieu!C11</f>
        <v>hộp</v>
      </c>
      <c r="D76" s="86">
        <f>Gia_VLieu!D11</f>
        <v>2500</v>
      </c>
      <c r="E76" s="43"/>
      <c r="F76" s="21">
        <f t="shared" si="5"/>
        <v>0</v>
      </c>
      <c r="H76" s="12">
        <v>72</v>
      </c>
    </row>
    <row r="77" spans="1:8" s="5" customFormat="1">
      <c r="A77" s="15">
        <v>6</v>
      </c>
      <c r="B77" s="7" t="s">
        <v>85</v>
      </c>
      <c r="C77" s="8" t="str">
        <f>Gia_VLieu!C12</f>
        <v>hộp</v>
      </c>
      <c r="D77" s="86">
        <f>Gia_VLieu!D12</f>
        <v>2000</v>
      </c>
      <c r="E77" s="43">
        <v>4</v>
      </c>
      <c r="F77" s="21">
        <f t="shared" si="5"/>
        <v>8000</v>
      </c>
      <c r="H77" s="12">
        <v>73</v>
      </c>
    </row>
    <row r="78" spans="1:8" s="5" customFormat="1">
      <c r="A78" s="15">
        <v>7</v>
      </c>
      <c r="B78" s="7" t="s">
        <v>86</v>
      </c>
      <c r="C78" s="8" t="str">
        <f>Gia_VLieu!C13</f>
        <v>tập</v>
      </c>
      <c r="D78" s="86">
        <f>Gia_VLieu!D13</f>
        <v>8000</v>
      </c>
      <c r="E78" s="43">
        <v>4</v>
      </c>
      <c r="F78" s="21">
        <f t="shared" si="5"/>
        <v>32000</v>
      </c>
      <c r="H78" s="12">
        <v>74</v>
      </c>
    </row>
    <row r="79" spans="1:8" s="5" customFormat="1">
      <c r="A79" s="57">
        <v>8</v>
      </c>
      <c r="B79" s="58" t="s">
        <v>87</v>
      </c>
      <c r="C79" s="59" t="str">
        <f>Gia_VLieu!C14</f>
        <v>cái</v>
      </c>
      <c r="D79" s="87">
        <f>Gia_VLieu!D14</f>
        <v>15000</v>
      </c>
      <c r="E79" s="64">
        <v>14</v>
      </c>
      <c r="F79" s="55">
        <f t="shared" si="5"/>
        <v>210000</v>
      </c>
      <c r="H79" s="12">
        <v>75</v>
      </c>
    </row>
    <row r="80" spans="1:8" s="16" customFormat="1">
      <c r="A80" s="14" t="e">
        <f>#REF!</f>
        <v>#REF!</v>
      </c>
      <c r="B80" s="10" t="e">
        <f>#REF!</f>
        <v>#REF!</v>
      </c>
      <c r="C80" s="9"/>
      <c r="D80" s="92"/>
      <c r="E80" s="66"/>
      <c r="F80" s="22"/>
      <c r="H80" s="12">
        <v>76</v>
      </c>
    </row>
    <row r="81" spans="1:8" s="46" customFormat="1">
      <c r="A81" s="44" t="e">
        <f>#REF!</f>
        <v>#REF!</v>
      </c>
      <c r="B81" s="45" t="e">
        <f>#REF!</f>
        <v>#REF!</v>
      </c>
      <c r="C81" s="20"/>
      <c r="D81" s="151">
        <f>Gia_VLieu!D$16</f>
        <v>1</v>
      </c>
      <c r="E81" s="63"/>
      <c r="F81" s="23">
        <f>SUM(F82:F92)*D81</f>
        <v>3218000</v>
      </c>
      <c r="H81" s="12">
        <v>77</v>
      </c>
    </row>
    <row r="82" spans="1:8" s="5" customFormat="1">
      <c r="A82" s="15">
        <v>1</v>
      </c>
      <c r="B82" s="7" t="s">
        <v>77</v>
      </c>
      <c r="C82" s="8" t="str">
        <f>Gia_VLieu!C4</f>
        <v>gram</v>
      </c>
      <c r="D82" s="86">
        <f>Gia_VLieu!D4</f>
        <v>45000</v>
      </c>
      <c r="E82" s="43">
        <v>10</v>
      </c>
      <c r="F82" s="21">
        <f t="shared" ref="F82:F92" si="6">D82*E82</f>
        <v>450000</v>
      </c>
      <c r="H82" s="12">
        <v>78</v>
      </c>
    </row>
    <row r="83" spans="1:8" s="5" customFormat="1">
      <c r="A83" s="15">
        <v>2</v>
      </c>
      <c r="B83" s="7" t="s">
        <v>78</v>
      </c>
      <c r="C83" s="8" t="str">
        <f>Gia_VLieu!C5</f>
        <v>hộp</v>
      </c>
      <c r="D83" s="86">
        <f>Gia_VLieu!D5</f>
        <v>1450000</v>
      </c>
      <c r="E83" s="43">
        <v>1.5</v>
      </c>
      <c r="F83" s="21">
        <f t="shared" si="6"/>
        <v>2175000</v>
      </c>
      <c r="H83" s="12">
        <v>79</v>
      </c>
    </row>
    <row r="84" spans="1:8" s="5" customFormat="1">
      <c r="A84" s="15">
        <v>3</v>
      </c>
      <c r="B84" s="7" t="s">
        <v>79</v>
      </c>
      <c r="C84" s="8" t="str">
        <f>Gia_VLieu!C6</f>
        <v>hộp</v>
      </c>
      <c r="D84" s="86">
        <f>Gia_VLieu!D6</f>
        <v>250000</v>
      </c>
      <c r="E84" s="43">
        <v>0.5</v>
      </c>
      <c r="F84" s="21">
        <f t="shared" si="6"/>
        <v>125000</v>
      </c>
      <c r="H84" s="12">
        <v>80</v>
      </c>
    </row>
    <row r="85" spans="1:8" s="5" customFormat="1">
      <c r="A85" s="15">
        <v>4</v>
      </c>
      <c r="B85" s="7" t="s">
        <v>80</v>
      </c>
      <c r="C85" s="8" t="str">
        <f>Gia_VLieu!C7</f>
        <v>quyển</v>
      </c>
      <c r="D85" s="86">
        <f>Gia_VLieu!D7</f>
        <v>10000</v>
      </c>
      <c r="E85" s="43">
        <v>15</v>
      </c>
      <c r="F85" s="21">
        <f t="shared" si="6"/>
        <v>150000</v>
      </c>
      <c r="H85" s="12">
        <v>81</v>
      </c>
    </row>
    <row r="86" spans="1:8" s="5" customFormat="1">
      <c r="A86" s="15">
        <v>5</v>
      </c>
      <c r="B86" s="7" t="s">
        <v>21</v>
      </c>
      <c r="C86" s="8" t="str">
        <f>Gia_VLieu!C8</f>
        <v>cái</v>
      </c>
      <c r="D86" s="86">
        <f>Gia_VLieu!D8</f>
        <v>2000</v>
      </c>
      <c r="E86" s="43">
        <v>25</v>
      </c>
      <c r="F86" s="21">
        <f t="shared" si="6"/>
        <v>50000</v>
      </c>
      <c r="H86" s="12">
        <v>82</v>
      </c>
    </row>
    <row r="87" spans="1:8" s="5" customFormat="1" hidden="1">
      <c r="A87" s="159">
        <v>6</v>
      </c>
      <c r="B87" s="160" t="s">
        <v>82</v>
      </c>
      <c r="C87" s="161" t="str">
        <f>Gia_VLieu!C9</f>
        <v>cái</v>
      </c>
      <c r="D87" s="162">
        <f>Gia_VLieu!D9</f>
        <v>8000</v>
      </c>
      <c r="E87" s="186"/>
      <c r="F87" s="163">
        <f t="shared" si="6"/>
        <v>0</v>
      </c>
      <c r="H87" s="12">
        <v>83</v>
      </c>
    </row>
    <row r="88" spans="1:8" s="5" customFormat="1" hidden="1">
      <c r="A88" s="159">
        <v>7</v>
      </c>
      <c r="B88" s="160" t="s">
        <v>83</v>
      </c>
      <c r="C88" s="161" t="str">
        <f>Gia_VLieu!C10</f>
        <v>cái</v>
      </c>
      <c r="D88" s="162">
        <f>Gia_VLieu!D10</f>
        <v>10000</v>
      </c>
      <c r="E88" s="186"/>
      <c r="F88" s="163">
        <f t="shared" si="6"/>
        <v>0</v>
      </c>
      <c r="H88" s="12">
        <v>84</v>
      </c>
    </row>
    <row r="89" spans="1:8" s="5" customFormat="1" hidden="1">
      <c r="A89" s="159">
        <v>8</v>
      </c>
      <c r="B89" s="160" t="s">
        <v>84</v>
      </c>
      <c r="C89" s="161" t="str">
        <f>Gia_VLieu!C11</f>
        <v>hộp</v>
      </c>
      <c r="D89" s="162">
        <f>Gia_VLieu!D11</f>
        <v>2500</v>
      </c>
      <c r="E89" s="186"/>
      <c r="F89" s="163">
        <f t="shared" si="6"/>
        <v>0</v>
      </c>
      <c r="H89" s="12">
        <v>85</v>
      </c>
    </row>
    <row r="90" spans="1:8" s="5" customFormat="1">
      <c r="A90" s="15">
        <v>6</v>
      </c>
      <c r="B90" s="7" t="s">
        <v>85</v>
      </c>
      <c r="C90" s="8" t="str">
        <f>Gia_VLieu!C12</f>
        <v>hộp</v>
      </c>
      <c r="D90" s="86">
        <f>Gia_VLieu!D12</f>
        <v>2000</v>
      </c>
      <c r="E90" s="43">
        <v>4</v>
      </c>
      <c r="F90" s="21">
        <f t="shared" si="6"/>
        <v>8000</v>
      </c>
      <c r="H90" s="12">
        <v>86</v>
      </c>
    </row>
    <row r="91" spans="1:8" s="5" customFormat="1">
      <c r="A91" s="15">
        <v>7</v>
      </c>
      <c r="B91" s="7" t="s">
        <v>86</v>
      </c>
      <c r="C91" s="8" t="str">
        <f>Gia_VLieu!C13</f>
        <v>tập</v>
      </c>
      <c r="D91" s="86">
        <f>Gia_VLieu!D13</f>
        <v>8000</v>
      </c>
      <c r="E91" s="43">
        <v>10</v>
      </c>
      <c r="F91" s="21">
        <f t="shared" si="6"/>
        <v>80000</v>
      </c>
      <c r="H91" s="12">
        <v>87</v>
      </c>
    </row>
    <row r="92" spans="1:8" s="5" customFormat="1">
      <c r="A92" s="57">
        <v>8</v>
      </c>
      <c r="B92" s="58" t="s">
        <v>87</v>
      </c>
      <c r="C92" s="59" t="str">
        <f>Gia_VLieu!C14</f>
        <v>cái</v>
      </c>
      <c r="D92" s="87">
        <f>Gia_VLieu!D14</f>
        <v>15000</v>
      </c>
      <c r="E92" s="64">
        <v>12</v>
      </c>
      <c r="F92" s="55">
        <f t="shared" si="6"/>
        <v>180000</v>
      </c>
      <c r="H92" s="12">
        <v>88</v>
      </c>
    </row>
    <row r="93" spans="1:8" s="46" customFormat="1" hidden="1">
      <c r="A93" s="44" t="e">
        <f>#REF!</f>
        <v>#REF!</v>
      </c>
      <c r="B93" s="45" t="e">
        <f>#REF!</f>
        <v>#REF!</v>
      </c>
      <c r="C93" s="20"/>
      <c r="D93" s="151"/>
      <c r="E93" s="63"/>
      <c r="F93" s="23"/>
      <c r="H93" s="12">
        <v>89</v>
      </c>
    </row>
    <row r="94" spans="1:8" s="5" customFormat="1" hidden="1">
      <c r="A94" s="159" t="e">
        <f>#REF!</f>
        <v>#REF!</v>
      </c>
      <c r="B94" s="160" t="e">
        <f>#REF!</f>
        <v>#REF!</v>
      </c>
      <c r="C94" s="161"/>
      <c r="D94" s="162"/>
      <c r="E94" s="186"/>
      <c r="F94" s="163"/>
      <c r="H94" s="12">
        <v>90</v>
      </c>
    </row>
    <row r="95" spans="1:8" s="5" customFormat="1" hidden="1">
      <c r="A95" s="159" t="e">
        <f>#REF!</f>
        <v>#REF!</v>
      </c>
      <c r="B95" s="160" t="e">
        <f>#REF!</f>
        <v>#REF!</v>
      </c>
      <c r="C95" s="161"/>
      <c r="D95" s="162"/>
      <c r="E95" s="186"/>
      <c r="F95" s="163"/>
      <c r="H95" s="12">
        <v>91</v>
      </c>
    </row>
    <row r="96" spans="1:8" s="5" customFormat="1" hidden="1">
      <c r="A96" s="159" t="e">
        <f>#REF!</f>
        <v>#REF!</v>
      </c>
      <c r="B96" s="160" t="e">
        <f>#REF!</f>
        <v>#REF!</v>
      </c>
      <c r="C96" s="161"/>
      <c r="D96" s="162"/>
      <c r="E96" s="186"/>
      <c r="F96" s="163"/>
      <c r="H96" s="12">
        <v>92</v>
      </c>
    </row>
    <row r="97" spans="1:8" s="5" customFormat="1" hidden="1">
      <c r="A97" s="159" t="e">
        <f>#REF!</f>
        <v>#REF!</v>
      </c>
      <c r="B97" s="160" t="e">
        <f>#REF!</f>
        <v>#REF!</v>
      </c>
      <c r="C97" s="161"/>
      <c r="D97" s="162"/>
      <c r="E97" s="186"/>
      <c r="F97" s="163"/>
      <c r="H97" s="12">
        <v>93</v>
      </c>
    </row>
    <row r="98" spans="1:8" s="5" customFormat="1" hidden="1">
      <c r="A98" s="159" t="e">
        <f>#REF!</f>
        <v>#REF!</v>
      </c>
      <c r="B98" s="160" t="e">
        <f>#REF!</f>
        <v>#REF!</v>
      </c>
      <c r="C98" s="161"/>
      <c r="D98" s="162"/>
      <c r="E98" s="186"/>
      <c r="F98" s="163"/>
      <c r="H98" s="12">
        <v>94</v>
      </c>
    </row>
    <row r="99" spans="1:8" s="5" customFormat="1" hidden="1">
      <c r="A99" s="159" t="e">
        <f>#REF!</f>
        <v>#REF!</v>
      </c>
      <c r="B99" s="160" t="e">
        <f>#REF!</f>
        <v>#REF!</v>
      </c>
      <c r="C99" s="161"/>
      <c r="D99" s="162"/>
      <c r="E99" s="186"/>
      <c r="F99" s="163"/>
      <c r="H99" s="12">
        <v>95</v>
      </c>
    </row>
    <row r="100" spans="1:8" s="5" customFormat="1" hidden="1">
      <c r="A100" s="159" t="e">
        <f>#REF!</f>
        <v>#REF!</v>
      </c>
      <c r="B100" s="160" t="e">
        <f>#REF!</f>
        <v>#REF!</v>
      </c>
      <c r="C100" s="161"/>
      <c r="D100" s="162"/>
      <c r="E100" s="186"/>
      <c r="F100" s="163"/>
      <c r="H100" s="12">
        <v>96</v>
      </c>
    </row>
    <row r="101" spans="1:8" s="5" customFormat="1" hidden="1">
      <c r="A101" s="159" t="e">
        <f>#REF!</f>
        <v>#REF!</v>
      </c>
      <c r="B101" s="160" t="e">
        <f>#REF!</f>
        <v>#REF!</v>
      </c>
      <c r="C101" s="161"/>
      <c r="D101" s="162"/>
      <c r="E101" s="186"/>
      <c r="F101" s="163"/>
      <c r="H101" s="12">
        <v>97</v>
      </c>
    </row>
    <row r="102" spans="1:8" s="5" customFormat="1" hidden="1">
      <c r="A102" s="159" t="e">
        <f>#REF!</f>
        <v>#REF!</v>
      </c>
      <c r="B102" s="160" t="e">
        <f>#REF!</f>
        <v>#REF!</v>
      </c>
      <c r="C102" s="161"/>
      <c r="D102" s="162"/>
      <c r="E102" s="186"/>
      <c r="F102" s="163"/>
      <c r="H102" s="12">
        <v>98</v>
      </c>
    </row>
    <row r="103" spans="1:8" s="5" customFormat="1" hidden="1">
      <c r="A103" s="159" t="e">
        <f>#REF!</f>
        <v>#REF!</v>
      </c>
      <c r="B103" s="160" t="e">
        <f>#REF!</f>
        <v>#REF!</v>
      </c>
      <c r="C103" s="161"/>
      <c r="D103" s="162"/>
      <c r="E103" s="186"/>
      <c r="F103" s="163"/>
      <c r="H103" s="12">
        <v>99</v>
      </c>
    </row>
    <row r="104" spans="1:8" s="5" customFormat="1" hidden="1">
      <c r="A104" s="175" t="e">
        <f>#REF!</f>
        <v>#REF!</v>
      </c>
      <c r="B104" s="176" t="e">
        <f>#REF!</f>
        <v>#REF!</v>
      </c>
      <c r="C104" s="169"/>
      <c r="D104" s="171"/>
      <c r="E104" s="187"/>
      <c r="F104" s="188"/>
      <c r="H104" s="12">
        <v>100</v>
      </c>
    </row>
    <row r="105" spans="1:8" s="5" customFormat="1" hidden="1">
      <c r="A105" s="159" t="e">
        <f>#REF!</f>
        <v>#REF!</v>
      </c>
      <c r="B105" s="160" t="e">
        <f>#REF!</f>
        <v>#REF!</v>
      </c>
      <c r="C105" s="161"/>
      <c r="D105" s="162"/>
      <c r="E105" s="186"/>
      <c r="F105" s="163"/>
      <c r="H105" s="12">
        <v>101</v>
      </c>
    </row>
    <row r="106" spans="1:8" s="5" customFormat="1" hidden="1">
      <c r="A106" s="159" t="e">
        <f>#REF!</f>
        <v>#REF!</v>
      </c>
      <c r="B106" s="160" t="e">
        <f>#REF!</f>
        <v>#REF!</v>
      </c>
      <c r="C106" s="161"/>
      <c r="D106" s="162"/>
      <c r="E106" s="186"/>
      <c r="F106" s="163"/>
      <c r="H106" s="12">
        <v>102</v>
      </c>
    </row>
    <row r="107" spans="1:8" s="5" customFormat="1" hidden="1">
      <c r="A107" s="159" t="e">
        <f>#REF!</f>
        <v>#REF!</v>
      </c>
      <c r="B107" s="160" t="e">
        <f>#REF!</f>
        <v>#REF!</v>
      </c>
      <c r="C107" s="161"/>
      <c r="D107" s="162"/>
      <c r="E107" s="186"/>
      <c r="F107" s="163"/>
      <c r="H107" s="12">
        <v>103</v>
      </c>
    </row>
    <row r="108" spans="1:8" s="5" customFormat="1" hidden="1">
      <c r="A108" s="159" t="e">
        <f>#REF!</f>
        <v>#REF!</v>
      </c>
      <c r="B108" s="160" t="e">
        <f>#REF!</f>
        <v>#REF!</v>
      </c>
      <c r="C108" s="161"/>
      <c r="D108" s="162"/>
      <c r="E108" s="186"/>
      <c r="F108" s="163"/>
      <c r="H108" s="12">
        <v>104</v>
      </c>
    </row>
    <row r="109" spans="1:8" s="5" customFormat="1" hidden="1">
      <c r="A109" s="159" t="e">
        <f>#REF!</f>
        <v>#REF!</v>
      </c>
      <c r="B109" s="160" t="e">
        <f>#REF!</f>
        <v>#REF!</v>
      </c>
      <c r="C109" s="161"/>
      <c r="D109" s="162"/>
      <c r="E109" s="186"/>
      <c r="F109" s="163"/>
      <c r="H109" s="12">
        <v>105</v>
      </c>
    </row>
    <row r="110" spans="1:8" s="5" customFormat="1" hidden="1">
      <c r="A110" s="159" t="e">
        <f>#REF!</f>
        <v>#REF!</v>
      </c>
      <c r="B110" s="160" t="e">
        <f>#REF!</f>
        <v>#REF!</v>
      </c>
      <c r="C110" s="161"/>
      <c r="D110" s="162"/>
      <c r="E110" s="186"/>
      <c r="F110" s="163"/>
      <c r="H110" s="12">
        <v>106</v>
      </c>
    </row>
    <row r="111" spans="1:8" s="5" customFormat="1" hidden="1">
      <c r="A111" s="159" t="e">
        <f>#REF!</f>
        <v>#REF!</v>
      </c>
      <c r="B111" s="160" t="e">
        <f>#REF!</f>
        <v>#REF!</v>
      </c>
      <c r="C111" s="161"/>
      <c r="D111" s="162"/>
      <c r="E111" s="186"/>
      <c r="F111" s="163"/>
      <c r="H111" s="12">
        <v>107</v>
      </c>
    </row>
    <row r="112" spans="1:8" s="5" customFormat="1" hidden="1">
      <c r="A112" s="159" t="e">
        <f>#REF!</f>
        <v>#REF!</v>
      </c>
      <c r="B112" s="160" t="e">
        <f>#REF!</f>
        <v>#REF!</v>
      </c>
      <c r="C112" s="161"/>
      <c r="D112" s="162"/>
      <c r="E112" s="186"/>
      <c r="F112" s="163"/>
      <c r="H112" s="12">
        <v>108</v>
      </c>
    </row>
    <row r="113" spans="1:8" s="5" customFormat="1" hidden="1">
      <c r="A113" s="159" t="e">
        <f>#REF!</f>
        <v>#REF!</v>
      </c>
      <c r="B113" s="160" t="e">
        <f>#REF!</f>
        <v>#REF!</v>
      </c>
      <c r="C113" s="161"/>
      <c r="D113" s="162"/>
      <c r="E113" s="186"/>
      <c r="F113" s="163"/>
      <c r="H113" s="12">
        <v>109</v>
      </c>
    </row>
    <row r="114" spans="1:8" s="16" customFormat="1">
      <c r="A114" s="14" t="e">
        <f>#REF!</f>
        <v>#REF!</v>
      </c>
      <c r="B114" s="10" t="e">
        <f>#REF!</f>
        <v>#REF!</v>
      </c>
      <c r="C114" s="9"/>
      <c r="D114" s="92"/>
      <c r="E114" s="66"/>
      <c r="F114" s="22"/>
      <c r="H114" s="12">
        <v>110</v>
      </c>
    </row>
    <row r="115" spans="1:8" s="46" customFormat="1">
      <c r="A115" s="44" t="e">
        <f>#REF!</f>
        <v>#REF!</v>
      </c>
      <c r="B115" s="45" t="e">
        <f>#REF!</f>
        <v>#REF!</v>
      </c>
      <c r="C115" s="20"/>
      <c r="D115" s="151">
        <f>Gia_VLieu!D$16</f>
        <v>1</v>
      </c>
      <c r="E115" s="63"/>
      <c r="F115" s="23">
        <f>SUM(F116:F126)*D115</f>
        <v>1333500</v>
      </c>
      <c r="H115" s="12">
        <v>111</v>
      </c>
    </row>
    <row r="116" spans="1:8" s="5" customFormat="1">
      <c r="A116" s="15">
        <v>1</v>
      </c>
      <c r="B116" s="7" t="s">
        <v>77</v>
      </c>
      <c r="C116" s="8" t="str">
        <f>Gia_VLieu!C4</f>
        <v>gram</v>
      </c>
      <c r="D116" s="86">
        <f>Gia_VLieu!D4</f>
        <v>45000</v>
      </c>
      <c r="E116" s="43">
        <v>4</v>
      </c>
      <c r="F116" s="21">
        <f t="shared" ref="F116:F126" si="7">D116*E116</f>
        <v>180000</v>
      </c>
      <c r="H116" s="12">
        <v>112</v>
      </c>
    </row>
    <row r="117" spans="1:8" s="5" customFormat="1">
      <c r="A117" s="15">
        <v>2</v>
      </c>
      <c r="B117" s="7" t="s">
        <v>78</v>
      </c>
      <c r="C117" s="8" t="str">
        <f>Gia_VLieu!C5</f>
        <v>hộp</v>
      </c>
      <c r="D117" s="86">
        <f>Gia_VLieu!D5</f>
        <v>1450000</v>
      </c>
      <c r="E117" s="43">
        <v>0.3</v>
      </c>
      <c r="F117" s="21">
        <f t="shared" si="7"/>
        <v>435000</v>
      </c>
      <c r="H117" s="12">
        <v>113</v>
      </c>
    </row>
    <row r="118" spans="1:8" s="5" customFormat="1">
      <c r="A118" s="15">
        <v>3</v>
      </c>
      <c r="B118" s="7" t="s">
        <v>79</v>
      </c>
      <c r="C118" s="8" t="str">
        <f>Gia_VLieu!C6</f>
        <v>hộp</v>
      </c>
      <c r="D118" s="86">
        <f>Gia_VLieu!D6</f>
        <v>250000</v>
      </c>
      <c r="E118" s="43">
        <v>0.2</v>
      </c>
      <c r="F118" s="21">
        <f t="shared" si="7"/>
        <v>50000</v>
      </c>
      <c r="H118" s="12">
        <v>114</v>
      </c>
    </row>
    <row r="119" spans="1:8" s="5" customFormat="1">
      <c r="A119" s="15">
        <v>4</v>
      </c>
      <c r="B119" s="7" t="s">
        <v>80</v>
      </c>
      <c r="C119" s="8" t="str">
        <f>Gia_VLieu!C7</f>
        <v>quyển</v>
      </c>
      <c r="D119" s="86">
        <f>Gia_VLieu!D7</f>
        <v>10000</v>
      </c>
      <c r="E119" s="43">
        <v>15</v>
      </c>
      <c r="F119" s="21">
        <f t="shared" si="7"/>
        <v>150000</v>
      </c>
      <c r="H119" s="12">
        <v>115</v>
      </c>
    </row>
    <row r="120" spans="1:8" s="5" customFormat="1">
      <c r="A120" s="15">
        <v>5</v>
      </c>
      <c r="B120" s="7" t="s">
        <v>21</v>
      </c>
      <c r="C120" s="8" t="str">
        <f>Gia_VLieu!C8</f>
        <v>cái</v>
      </c>
      <c r="D120" s="86">
        <f>Gia_VLieu!D8</f>
        <v>2000</v>
      </c>
      <c r="E120" s="43">
        <v>30</v>
      </c>
      <c r="F120" s="21">
        <f t="shared" si="7"/>
        <v>60000</v>
      </c>
      <c r="H120" s="12">
        <v>116</v>
      </c>
    </row>
    <row r="121" spans="1:8" s="5" customFormat="1">
      <c r="A121" s="15">
        <v>6</v>
      </c>
      <c r="B121" s="7" t="s">
        <v>82</v>
      </c>
      <c r="C121" s="8" t="str">
        <f>Gia_VLieu!C9</f>
        <v>cái</v>
      </c>
      <c r="D121" s="86">
        <f>Gia_VLieu!D9</f>
        <v>8000</v>
      </c>
      <c r="E121" s="43">
        <v>10</v>
      </c>
      <c r="F121" s="21">
        <f t="shared" si="7"/>
        <v>80000</v>
      </c>
      <c r="H121" s="12">
        <v>117</v>
      </c>
    </row>
    <row r="122" spans="1:8" s="5" customFormat="1">
      <c r="A122" s="15">
        <v>7</v>
      </c>
      <c r="B122" s="7" t="s">
        <v>83</v>
      </c>
      <c r="C122" s="8" t="str">
        <f>Gia_VLieu!C10</f>
        <v>cái</v>
      </c>
      <c r="D122" s="86">
        <f>Gia_VLieu!D10</f>
        <v>10000</v>
      </c>
      <c r="E122" s="43">
        <v>10</v>
      </c>
      <c r="F122" s="21">
        <f t="shared" si="7"/>
        <v>100000</v>
      </c>
      <c r="H122" s="12">
        <v>118</v>
      </c>
    </row>
    <row r="123" spans="1:8" s="5" customFormat="1">
      <c r="A123" s="15">
        <v>8</v>
      </c>
      <c r="B123" s="7" t="s">
        <v>84</v>
      </c>
      <c r="C123" s="8" t="str">
        <f>Gia_VLieu!C11</f>
        <v>hộp</v>
      </c>
      <c r="D123" s="86">
        <f>Gia_VLieu!D11</f>
        <v>2500</v>
      </c>
      <c r="E123" s="43">
        <v>5</v>
      </c>
      <c r="F123" s="21">
        <f t="shared" si="7"/>
        <v>12500</v>
      </c>
      <c r="H123" s="12">
        <v>119</v>
      </c>
    </row>
    <row r="124" spans="1:8" s="5" customFormat="1">
      <c r="A124" s="15">
        <v>9</v>
      </c>
      <c r="B124" s="7" t="s">
        <v>85</v>
      </c>
      <c r="C124" s="8" t="str">
        <f>Gia_VLieu!C12</f>
        <v>hộp</v>
      </c>
      <c r="D124" s="86">
        <f>Gia_VLieu!D12</f>
        <v>2000</v>
      </c>
      <c r="E124" s="43">
        <v>4</v>
      </c>
      <c r="F124" s="21">
        <f t="shared" si="7"/>
        <v>8000</v>
      </c>
      <c r="H124" s="12">
        <v>120</v>
      </c>
    </row>
    <row r="125" spans="1:8" s="5" customFormat="1">
      <c r="A125" s="15">
        <v>10</v>
      </c>
      <c r="B125" s="7" t="s">
        <v>86</v>
      </c>
      <c r="C125" s="8" t="str">
        <f>Gia_VLieu!C13</f>
        <v>tập</v>
      </c>
      <c r="D125" s="86">
        <f>Gia_VLieu!D13</f>
        <v>8000</v>
      </c>
      <c r="E125" s="43">
        <v>6</v>
      </c>
      <c r="F125" s="21">
        <f t="shared" si="7"/>
        <v>48000</v>
      </c>
      <c r="H125" s="12">
        <v>121</v>
      </c>
    </row>
    <row r="126" spans="1:8" s="5" customFormat="1">
      <c r="A126" s="57">
        <v>11</v>
      </c>
      <c r="B126" s="58" t="s">
        <v>87</v>
      </c>
      <c r="C126" s="59" t="str">
        <f>Gia_VLieu!C14</f>
        <v>cái</v>
      </c>
      <c r="D126" s="87">
        <f>Gia_VLieu!D14</f>
        <v>15000</v>
      </c>
      <c r="E126" s="64">
        <v>14</v>
      </c>
      <c r="F126" s="55">
        <f t="shared" si="7"/>
        <v>210000</v>
      </c>
      <c r="H126" s="12">
        <v>122</v>
      </c>
    </row>
    <row r="127" spans="1:8" s="46" customFormat="1">
      <c r="A127" s="44" t="e">
        <f>#REF!</f>
        <v>#REF!</v>
      </c>
      <c r="B127" s="45" t="e">
        <f>#REF!</f>
        <v>#REF!</v>
      </c>
      <c r="C127" s="20"/>
      <c r="D127" s="151">
        <f>Gia_VLieu!D$16</f>
        <v>1</v>
      </c>
      <c r="E127" s="63"/>
      <c r="F127" s="23">
        <f>SUM(F128:F138)*D127</f>
        <v>1538000</v>
      </c>
      <c r="H127" s="12">
        <v>123</v>
      </c>
    </row>
    <row r="128" spans="1:8" s="5" customFormat="1">
      <c r="A128" s="15">
        <v>1</v>
      </c>
      <c r="B128" s="7" t="s">
        <v>77</v>
      </c>
      <c r="C128" s="8" t="str">
        <f>Gia_VLieu!C4</f>
        <v>gram</v>
      </c>
      <c r="D128" s="86">
        <f>Gia_VLieu!D4</f>
        <v>45000</v>
      </c>
      <c r="E128" s="43">
        <v>5</v>
      </c>
      <c r="F128" s="21">
        <f t="shared" ref="F128:F138" si="8">D128*E128</f>
        <v>225000</v>
      </c>
      <c r="H128" s="12">
        <v>124</v>
      </c>
    </row>
    <row r="129" spans="1:8" s="5" customFormat="1">
      <c r="A129" s="15">
        <v>2</v>
      </c>
      <c r="B129" s="7" t="s">
        <v>78</v>
      </c>
      <c r="C129" s="8" t="str">
        <f>Gia_VLieu!C5</f>
        <v>hộp</v>
      </c>
      <c r="D129" s="86">
        <f>Gia_VLieu!D5</f>
        <v>1450000</v>
      </c>
      <c r="E129" s="43">
        <v>0.4</v>
      </c>
      <c r="F129" s="21">
        <f t="shared" si="8"/>
        <v>580000</v>
      </c>
      <c r="H129" s="12">
        <v>125</v>
      </c>
    </row>
    <row r="130" spans="1:8" s="5" customFormat="1">
      <c r="A130" s="15">
        <v>3</v>
      </c>
      <c r="B130" s="7" t="s">
        <v>79</v>
      </c>
      <c r="C130" s="8" t="str">
        <f>Gia_VLieu!C6</f>
        <v>hộp</v>
      </c>
      <c r="D130" s="86">
        <f>Gia_VLieu!D6</f>
        <v>250000</v>
      </c>
      <c r="E130" s="43">
        <v>0.3</v>
      </c>
      <c r="F130" s="21">
        <f t="shared" si="8"/>
        <v>75000</v>
      </c>
      <c r="H130" s="12">
        <v>126</v>
      </c>
    </row>
    <row r="131" spans="1:8" s="5" customFormat="1">
      <c r="A131" s="15">
        <v>4</v>
      </c>
      <c r="B131" s="7" t="s">
        <v>80</v>
      </c>
      <c r="C131" s="8" t="str">
        <f>Gia_VLieu!C7</f>
        <v>quyển</v>
      </c>
      <c r="D131" s="86">
        <f>Gia_VLieu!D7</f>
        <v>10000</v>
      </c>
      <c r="E131" s="43">
        <v>15</v>
      </c>
      <c r="F131" s="21">
        <f t="shared" si="8"/>
        <v>150000</v>
      </c>
      <c r="H131" s="12">
        <v>127</v>
      </c>
    </row>
    <row r="132" spans="1:8" s="5" customFormat="1">
      <c r="A132" s="15">
        <v>5</v>
      </c>
      <c r="B132" s="7" t="s">
        <v>21</v>
      </c>
      <c r="C132" s="8" t="str">
        <f>Gia_VLieu!C8</f>
        <v>cái</v>
      </c>
      <c r="D132" s="86">
        <f>Gia_VLieu!D8</f>
        <v>2000</v>
      </c>
      <c r="E132" s="43">
        <v>30</v>
      </c>
      <c r="F132" s="21">
        <f t="shared" si="8"/>
        <v>60000</v>
      </c>
      <c r="H132" s="12">
        <v>128</v>
      </c>
    </row>
    <row r="133" spans="1:8" s="5" customFormat="1">
      <c r="A133" s="15">
        <v>6</v>
      </c>
      <c r="B133" s="7" t="s">
        <v>82</v>
      </c>
      <c r="C133" s="8" t="str">
        <f>Gia_VLieu!C9</f>
        <v>cái</v>
      </c>
      <c r="D133" s="86">
        <f>Gia_VLieu!D9</f>
        <v>8000</v>
      </c>
      <c r="E133" s="43">
        <v>9</v>
      </c>
      <c r="F133" s="21">
        <f t="shared" si="8"/>
        <v>72000</v>
      </c>
      <c r="H133" s="12">
        <v>129</v>
      </c>
    </row>
    <row r="134" spans="1:8" s="5" customFormat="1">
      <c r="A134" s="15">
        <v>7</v>
      </c>
      <c r="B134" s="7" t="s">
        <v>83</v>
      </c>
      <c r="C134" s="8" t="str">
        <f>Gia_VLieu!C10</f>
        <v>cái</v>
      </c>
      <c r="D134" s="86">
        <f>Gia_VLieu!D10</f>
        <v>10000</v>
      </c>
      <c r="E134" s="43">
        <v>9</v>
      </c>
      <c r="F134" s="21">
        <f t="shared" si="8"/>
        <v>90000</v>
      </c>
      <c r="H134" s="12">
        <v>130</v>
      </c>
    </row>
    <row r="135" spans="1:8" s="5" customFormat="1">
      <c r="A135" s="15">
        <v>8</v>
      </c>
      <c r="B135" s="7" t="s">
        <v>84</v>
      </c>
      <c r="C135" s="8" t="str">
        <f>Gia_VLieu!C11</f>
        <v>hộp</v>
      </c>
      <c r="D135" s="86">
        <f>Gia_VLieu!D11</f>
        <v>2500</v>
      </c>
      <c r="E135" s="43">
        <v>6</v>
      </c>
      <c r="F135" s="21">
        <f t="shared" si="8"/>
        <v>15000</v>
      </c>
      <c r="H135" s="12">
        <v>131</v>
      </c>
    </row>
    <row r="136" spans="1:8" s="5" customFormat="1">
      <c r="A136" s="15">
        <v>9</v>
      </c>
      <c r="B136" s="7" t="s">
        <v>85</v>
      </c>
      <c r="C136" s="8" t="str">
        <f>Gia_VLieu!C12</f>
        <v>hộp</v>
      </c>
      <c r="D136" s="86">
        <f>Gia_VLieu!D12</f>
        <v>2000</v>
      </c>
      <c r="E136" s="43">
        <v>3</v>
      </c>
      <c r="F136" s="21">
        <f t="shared" si="8"/>
        <v>6000</v>
      </c>
      <c r="H136" s="12">
        <v>132</v>
      </c>
    </row>
    <row r="137" spans="1:8" s="5" customFormat="1">
      <c r="A137" s="15">
        <v>10</v>
      </c>
      <c r="B137" s="7" t="s">
        <v>86</v>
      </c>
      <c r="C137" s="8" t="str">
        <f>Gia_VLieu!C13</f>
        <v>tập</v>
      </c>
      <c r="D137" s="86">
        <f>Gia_VLieu!D13</f>
        <v>8000</v>
      </c>
      <c r="E137" s="43">
        <v>5</v>
      </c>
      <c r="F137" s="21">
        <f t="shared" si="8"/>
        <v>40000</v>
      </c>
      <c r="H137" s="12">
        <v>133</v>
      </c>
    </row>
    <row r="138" spans="1:8" s="5" customFormat="1">
      <c r="A138" s="57">
        <v>11</v>
      </c>
      <c r="B138" s="58" t="s">
        <v>87</v>
      </c>
      <c r="C138" s="59" t="str">
        <f>Gia_VLieu!C14</f>
        <v>cái</v>
      </c>
      <c r="D138" s="87">
        <f>Gia_VLieu!D14</f>
        <v>15000</v>
      </c>
      <c r="E138" s="64">
        <v>15</v>
      </c>
      <c r="F138" s="55">
        <f t="shared" si="8"/>
        <v>225000</v>
      </c>
      <c r="H138" s="12">
        <v>134</v>
      </c>
    </row>
    <row r="139" spans="1:8" s="16" customFormat="1">
      <c r="A139" s="14" t="e">
        <f>#REF!</f>
        <v>#REF!</v>
      </c>
      <c r="B139" s="10" t="e">
        <f>#REF!</f>
        <v>#REF!</v>
      </c>
      <c r="C139" s="9"/>
      <c r="D139" s="92"/>
      <c r="E139" s="66"/>
      <c r="F139" s="22"/>
      <c r="H139" s="12">
        <v>135</v>
      </c>
    </row>
    <row r="140" spans="1:8" s="46" customFormat="1">
      <c r="A140" s="44" t="e">
        <f>#REF!</f>
        <v>#REF!</v>
      </c>
      <c r="B140" s="45" t="e">
        <f>#REF!</f>
        <v>#REF!</v>
      </c>
      <c r="C140" s="20"/>
      <c r="D140" s="151">
        <f>Gia_VLieu!D$16</f>
        <v>1</v>
      </c>
      <c r="E140" s="63"/>
      <c r="F140" s="23">
        <f>SUM(F141:F151)*D140</f>
        <v>1846.5</v>
      </c>
      <c r="H140" s="12">
        <v>136</v>
      </c>
    </row>
    <row r="141" spans="1:8" s="5" customFormat="1">
      <c r="A141" s="15">
        <v>1</v>
      </c>
      <c r="B141" s="7" t="s">
        <v>77</v>
      </c>
      <c r="C141" s="8" t="str">
        <f>Gia_VLieu!C4</f>
        <v>gram</v>
      </c>
      <c r="D141" s="86">
        <f>Gia_VLieu!D4</f>
        <v>45000</v>
      </c>
      <c r="E141" s="42">
        <v>1E-3</v>
      </c>
      <c r="F141" s="21">
        <f t="shared" ref="F141:F151" si="9">D141*E141</f>
        <v>45</v>
      </c>
      <c r="H141" s="12">
        <v>137</v>
      </c>
    </row>
    <row r="142" spans="1:8" s="5" customFormat="1">
      <c r="A142" s="15">
        <v>2</v>
      </c>
      <c r="B142" s="7" t="s">
        <v>78</v>
      </c>
      <c r="C142" s="8" t="str">
        <f>Gia_VLieu!C5</f>
        <v>hộp</v>
      </c>
      <c r="D142" s="86">
        <f>Gia_VLieu!D5</f>
        <v>1450000</v>
      </c>
      <c r="E142" s="42">
        <v>1E-3</v>
      </c>
      <c r="F142" s="21">
        <f t="shared" si="9"/>
        <v>1450</v>
      </c>
      <c r="H142" s="12">
        <v>138</v>
      </c>
    </row>
    <row r="143" spans="1:8" s="5" customFormat="1">
      <c r="A143" s="15">
        <v>3</v>
      </c>
      <c r="B143" s="7" t="s">
        <v>79</v>
      </c>
      <c r="C143" s="8" t="str">
        <f>Gia_VLieu!C6</f>
        <v>hộp</v>
      </c>
      <c r="D143" s="86">
        <f>Gia_VLieu!D6</f>
        <v>250000</v>
      </c>
      <c r="E143" s="42">
        <v>1E-3</v>
      </c>
      <c r="F143" s="21">
        <f t="shared" si="9"/>
        <v>250</v>
      </c>
      <c r="H143" s="12">
        <v>139</v>
      </c>
    </row>
    <row r="144" spans="1:8" s="5" customFormat="1">
      <c r="A144" s="15">
        <v>4</v>
      </c>
      <c r="B144" s="7" t="s">
        <v>80</v>
      </c>
      <c r="C144" s="8" t="str">
        <f>Gia_VLieu!C7</f>
        <v>quyển</v>
      </c>
      <c r="D144" s="86">
        <f>Gia_VLieu!D7</f>
        <v>10000</v>
      </c>
      <c r="E144" s="42">
        <v>2E-3</v>
      </c>
      <c r="F144" s="21">
        <f t="shared" si="9"/>
        <v>20</v>
      </c>
      <c r="H144" s="12">
        <v>140</v>
      </c>
    </row>
    <row r="145" spans="1:8" s="5" customFormat="1">
      <c r="A145" s="15">
        <v>5</v>
      </c>
      <c r="B145" s="7" t="s">
        <v>21</v>
      </c>
      <c r="C145" s="8" t="str">
        <f>Gia_VLieu!C8</f>
        <v>cái</v>
      </c>
      <c r="D145" s="86">
        <f>Gia_VLieu!D8</f>
        <v>2000</v>
      </c>
      <c r="E145" s="42">
        <v>0.01</v>
      </c>
      <c r="F145" s="21">
        <f t="shared" si="9"/>
        <v>20</v>
      </c>
      <c r="H145" s="12">
        <v>141</v>
      </c>
    </row>
    <row r="146" spans="1:8" s="5" customFormat="1">
      <c r="A146" s="15">
        <v>6</v>
      </c>
      <c r="B146" s="7" t="s">
        <v>82</v>
      </c>
      <c r="C146" s="8" t="str">
        <f>Gia_VLieu!C9</f>
        <v>cái</v>
      </c>
      <c r="D146" s="86">
        <f>Gia_VLieu!D9</f>
        <v>8000</v>
      </c>
      <c r="E146" s="42">
        <v>1E-3</v>
      </c>
      <c r="F146" s="21">
        <f t="shared" si="9"/>
        <v>8</v>
      </c>
      <c r="H146" s="12">
        <v>142</v>
      </c>
    </row>
    <row r="147" spans="1:8" s="5" customFormat="1">
      <c r="A147" s="15">
        <v>7</v>
      </c>
      <c r="B147" s="7" t="s">
        <v>83</v>
      </c>
      <c r="C147" s="8" t="str">
        <f>Gia_VLieu!C10</f>
        <v>cái</v>
      </c>
      <c r="D147" s="86">
        <f>Gia_VLieu!D10</f>
        <v>10000</v>
      </c>
      <c r="E147" s="42">
        <v>1E-3</v>
      </c>
      <c r="F147" s="21">
        <f t="shared" si="9"/>
        <v>10</v>
      </c>
      <c r="H147" s="12">
        <v>143</v>
      </c>
    </row>
    <row r="148" spans="1:8" s="5" customFormat="1">
      <c r="A148" s="15">
        <v>8</v>
      </c>
      <c r="B148" s="7" t="s">
        <v>84</v>
      </c>
      <c r="C148" s="8" t="str">
        <f>Gia_VLieu!C11</f>
        <v>hộp</v>
      </c>
      <c r="D148" s="86">
        <f>Gia_VLieu!D11</f>
        <v>2500</v>
      </c>
      <c r="E148" s="42">
        <v>1E-3</v>
      </c>
      <c r="F148" s="21">
        <f t="shared" si="9"/>
        <v>2.5</v>
      </c>
      <c r="H148" s="12">
        <v>144</v>
      </c>
    </row>
    <row r="149" spans="1:8" s="5" customFormat="1">
      <c r="A149" s="15">
        <v>9</v>
      </c>
      <c r="B149" s="7" t="s">
        <v>85</v>
      </c>
      <c r="C149" s="8" t="str">
        <f>Gia_VLieu!C12</f>
        <v>hộp</v>
      </c>
      <c r="D149" s="86">
        <f>Gia_VLieu!D12</f>
        <v>2000</v>
      </c>
      <c r="E149" s="42">
        <v>1E-3</v>
      </c>
      <c r="F149" s="21">
        <f t="shared" si="9"/>
        <v>2</v>
      </c>
      <c r="H149" s="12">
        <v>145</v>
      </c>
    </row>
    <row r="150" spans="1:8" s="5" customFormat="1">
      <c r="A150" s="15">
        <v>10</v>
      </c>
      <c r="B150" s="7" t="s">
        <v>86</v>
      </c>
      <c r="C150" s="8" t="str">
        <f>Gia_VLieu!C13</f>
        <v>tập</v>
      </c>
      <c r="D150" s="86">
        <f>Gia_VLieu!D13</f>
        <v>8000</v>
      </c>
      <c r="E150" s="42">
        <v>3.0000000000000001E-3</v>
      </c>
      <c r="F150" s="21">
        <f t="shared" si="9"/>
        <v>24</v>
      </c>
      <c r="H150" s="12">
        <v>146</v>
      </c>
    </row>
    <row r="151" spans="1:8" s="5" customFormat="1">
      <c r="A151" s="57">
        <v>11</v>
      </c>
      <c r="B151" s="58" t="s">
        <v>87</v>
      </c>
      <c r="C151" s="59" t="str">
        <f>Gia_VLieu!C14</f>
        <v>cái</v>
      </c>
      <c r="D151" s="87">
        <f>Gia_VLieu!D14</f>
        <v>15000</v>
      </c>
      <c r="E151" s="68">
        <v>1E-3</v>
      </c>
      <c r="F151" s="55">
        <f t="shared" si="9"/>
        <v>15</v>
      </c>
      <c r="H151" s="12">
        <v>147</v>
      </c>
    </row>
    <row r="152" spans="1:8" s="5" customFormat="1">
      <c r="A152" s="15" t="e">
        <f>#REF!</f>
        <v>#REF!</v>
      </c>
      <c r="B152" s="7" t="e">
        <f>#REF!</f>
        <v>#REF!</v>
      </c>
      <c r="C152" s="8"/>
      <c r="D152" s="86"/>
      <c r="E152" s="43"/>
      <c r="F152" s="21"/>
      <c r="H152" s="12">
        <v>148</v>
      </c>
    </row>
    <row r="153" spans="1:8" s="5" customFormat="1">
      <c r="A153" s="15" t="e">
        <f>#REF!</f>
        <v>#REF!</v>
      </c>
      <c r="B153" s="7" t="e">
        <f>#REF!</f>
        <v>#REF!</v>
      </c>
      <c r="C153" s="8"/>
      <c r="D153" s="86"/>
      <c r="E153" s="43"/>
      <c r="F153" s="21"/>
      <c r="H153" s="12">
        <v>149</v>
      </c>
    </row>
    <row r="154" spans="1:8" s="46" customFormat="1">
      <c r="A154" s="44" t="e">
        <f>#REF!</f>
        <v>#REF!</v>
      </c>
      <c r="B154" s="45" t="e">
        <f>#REF!</f>
        <v>#REF!</v>
      </c>
      <c r="C154" s="20"/>
      <c r="D154" s="151">
        <f>Gia_VLieu!D$16</f>
        <v>1</v>
      </c>
      <c r="E154" s="63"/>
      <c r="F154" s="23">
        <f>SUM(F155:F165)*D154</f>
        <v>1818.5</v>
      </c>
      <c r="H154" s="12">
        <v>150</v>
      </c>
    </row>
    <row r="155" spans="1:8" s="5" customFormat="1">
      <c r="A155" s="15">
        <v>1</v>
      </c>
      <c r="B155" s="7" t="s">
        <v>77</v>
      </c>
      <c r="C155" s="8" t="str">
        <f>Gia_VLieu!C4</f>
        <v>gram</v>
      </c>
      <c r="D155" s="86">
        <f>Gia_VLieu!D4</f>
        <v>45000</v>
      </c>
      <c r="E155" s="42">
        <v>1E-3</v>
      </c>
      <c r="F155" s="21">
        <f t="shared" ref="F155:F165" si="10">D155*E155</f>
        <v>45</v>
      </c>
      <c r="H155" s="12">
        <v>151</v>
      </c>
    </row>
    <row r="156" spans="1:8" s="5" customFormat="1">
      <c r="A156" s="15">
        <v>2</v>
      </c>
      <c r="B156" s="7" t="s">
        <v>78</v>
      </c>
      <c r="C156" s="8" t="str">
        <f>Gia_VLieu!C5</f>
        <v>hộp</v>
      </c>
      <c r="D156" s="86">
        <f>Gia_VLieu!D5</f>
        <v>1450000</v>
      </c>
      <c r="E156" s="42">
        <v>1E-3</v>
      </c>
      <c r="F156" s="21">
        <f t="shared" si="10"/>
        <v>1450</v>
      </c>
      <c r="H156" s="12">
        <v>152</v>
      </c>
    </row>
    <row r="157" spans="1:8" s="5" customFormat="1">
      <c r="A157" s="15">
        <v>3</v>
      </c>
      <c r="B157" s="7" t="s">
        <v>79</v>
      </c>
      <c r="C157" s="8" t="str">
        <f>Gia_VLieu!C6</f>
        <v>hộp</v>
      </c>
      <c r="D157" s="86">
        <f>Gia_VLieu!D6</f>
        <v>250000</v>
      </c>
      <c r="E157" s="42">
        <v>1E-3</v>
      </c>
      <c r="F157" s="21">
        <f t="shared" si="10"/>
        <v>250</v>
      </c>
      <c r="H157" s="12">
        <v>153</v>
      </c>
    </row>
    <row r="158" spans="1:8" s="5" customFormat="1">
      <c r="A158" s="15">
        <v>4</v>
      </c>
      <c r="B158" s="7" t="s">
        <v>80</v>
      </c>
      <c r="C158" s="8" t="str">
        <f>Gia_VLieu!C7</f>
        <v>quyển</v>
      </c>
      <c r="D158" s="86">
        <f>Gia_VLieu!D7</f>
        <v>10000</v>
      </c>
      <c r="E158" s="42">
        <v>1E-3</v>
      </c>
      <c r="F158" s="21">
        <f t="shared" si="10"/>
        <v>10</v>
      </c>
      <c r="H158" s="12">
        <v>154</v>
      </c>
    </row>
    <row r="159" spans="1:8" s="5" customFormat="1">
      <c r="A159" s="15">
        <v>5</v>
      </c>
      <c r="B159" s="7" t="s">
        <v>21</v>
      </c>
      <c r="C159" s="8" t="str">
        <f>Gia_VLieu!C8</f>
        <v>cái</v>
      </c>
      <c r="D159" s="86">
        <f>Gia_VLieu!D8</f>
        <v>2000</v>
      </c>
      <c r="E159" s="42">
        <v>5.0000000000000001E-3</v>
      </c>
      <c r="F159" s="21">
        <f t="shared" si="10"/>
        <v>10</v>
      </c>
      <c r="H159" s="12">
        <v>155</v>
      </c>
    </row>
    <row r="160" spans="1:8" s="5" customFormat="1">
      <c r="A160" s="15">
        <v>6</v>
      </c>
      <c r="B160" s="7" t="s">
        <v>82</v>
      </c>
      <c r="C160" s="8" t="str">
        <f>Gia_VLieu!C9</f>
        <v>cái</v>
      </c>
      <c r="D160" s="86">
        <f>Gia_VLieu!D9</f>
        <v>8000</v>
      </c>
      <c r="E160" s="42">
        <v>1E-3</v>
      </c>
      <c r="F160" s="21">
        <f t="shared" si="10"/>
        <v>8</v>
      </c>
      <c r="H160" s="12">
        <v>156</v>
      </c>
    </row>
    <row r="161" spans="1:8" s="5" customFormat="1">
      <c r="A161" s="15">
        <v>7</v>
      </c>
      <c r="B161" s="7" t="s">
        <v>83</v>
      </c>
      <c r="C161" s="8" t="str">
        <f>Gia_VLieu!C10</f>
        <v>cái</v>
      </c>
      <c r="D161" s="86">
        <f>Gia_VLieu!D10</f>
        <v>10000</v>
      </c>
      <c r="E161" s="42">
        <v>1E-3</v>
      </c>
      <c r="F161" s="21">
        <f t="shared" si="10"/>
        <v>10</v>
      </c>
      <c r="H161" s="12">
        <v>157</v>
      </c>
    </row>
    <row r="162" spans="1:8" s="5" customFormat="1">
      <c r="A162" s="15">
        <v>8</v>
      </c>
      <c r="B162" s="7" t="s">
        <v>84</v>
      </c>
      <c r="C162" s="8" t="str">
        <f>Gia_VLieu!C11</f>
        <v>hộp</v>
      </c>
      <c r="D162" s="86">
        <f>Gia_VLieu!D11</f>
        <v>2500</v>
      </c>
      <c r="E162" s="42">
        <v>1E-3</v>
      </c>
      <c r="F162" s="21">
        <f t="shared" si="10"/>
        <v>2.5</v>
      </c>
      <c r="H162" s="12">
        <v>158</v>
      </c>
    </row>
    <row r="163" spans="1:8" s="5" customFormat="1">
      <c r="A163" s="15">
        <v>9</v>
      </c>
      <c r="B163" s="7" t="s">
        <v>85</v>
      </c>
      <c r="C163" s="8" t="str">
        <f>Gia_VLieu!C12</f>
        <v>hộp</v>
      </c>
      <c r="D163" s="86">
        <f>Gia_VLieu!D12</f>
        <v>2000</v>
      </c>
      <c r="E163" s="42">
        <v>1E-3</v>
      </c>
      <c r="F163" s="21">
        <f t="shared" si="10"/>
        <v>2</v>
      </c>
      <c r="H163" s="12">
        <v>159</v>
      </c>
    </row>
    <row r="164" spans="1:8" s="5" customFormat="1">
      <c r="A164" s="15">
        <v>10</v>
      </c>
      <c r="B164" s="7" t="s">
        <v>86</v>
      </c>
      <c r="C164" s="8" t="str">
        <f>Gia_VLieu!C13</f>
        <v>tập</v>
      </c>
      <c r="D164" s="86">
        <f>Gia_VLieu!D13</f>
        <v>8000</v>
      </c>
      <c r="E164" s="42">
        <v>2E-3</v>
      </c>
      <c r="F164" s="21">
        <f t="shared" si="10"/>
        <v>16</v>
      </c>
      <c r="H164" s="12">
        <v>160</v>
      </c>
    </row>
    <row r="165" spans="1:8" s="5" customFormat="1">
      <c r="A165" s="57">
        <v>11</v>
      </c>
      <c r="B165" s="58" t="s">
        <v>87</v>
      </c>
      <c r="C165" s="59" t="str">
        <f>Gia_VLieu!C14</f>
        <v>cái</v>
      </c>
      <c r="D165" s="87">
        <f>Gia_VLieu!D14</f>
        <v>15000</v>
      </c>
      <c r="E165" s="68">
        <v>1E-3</v>
      </c>
      <c r="F165" s="55">
        <f t="shared" si="10"/>
        <v>15</v>
      </c>
      <c r="H165" s="12">
        <v>161</v>
      </c>
    </row>
    <row r="166" spans="1:8" s="46" customFormat="1">
      <c r="A166" s="44" t="e">
        <f>#REF!</f>
        <v>#REF!</v>
      </c>
      <c r="B166" s="45" t="e">
        <f>#REF!</f>
        <v>#REF!</v>
      </c>
      <c r="C166" s="20"/>
      <c r="D166" s="90"/>
      <c r="E166" s="63"/>
      <c r="F166" s="23"/>
      <c r="H166" s="12">
        <v>162</v>
      </c>
    </row>
    <row r="167" spans="1:8" s="5" customFormat="1">
      <c r="A167" s="15" t="e">
        <f>#REF!</f>
        <v>#REF!</v>
      </c>
      <c r="B167" s="7" t="e">
        <f>#REF!</f>
        <v>#REF!</v>
      </c>
      <c r="C167" s="8"/>
      <c r="D167" s="86"/>
      <c r="E167" s="43"/>
      <c r="F167" s="21"/>
      <c r="H167" s="12">
        <v>163</v>
      </c>
    </row>
    <row r="168" spans="1:8" s="16" customFormat="1">
      <c r="A168" s="14" t="e">
        <f>#REF!</f>
        <v>#REF!</v>
      </c>
      <c r="B168" s="10" t="e">
        <f>#REF!</f>
        <v>#REF!</v>
      </c>
      <c r="C168" s="9"/>
      <c r="D168" s="92"/>
      <c r="E168" s="66"/>
      <c r="F168" s="22"/>
      <c r="H168" s="12">
        <v>164</v>
      </c>
    </row>
    <row r="169" spans="1:8" s="46" customFormat="1">
      <c r="A169" s="44" t="e">
        <f>#REF!</f>
        <v>#REF!</v>
      </c>
      <c r="B169" s="45" t="e">
        <f>#REF!</f>
        <v>#REF!</v>
      </c>
      <c r="C169" s="20"/>
      <c r="D169" s="151">
        <f>Gia_VLieu!D$16</f>
        <v>1</v>
      </c>
      <c r="E169" s="63"/>
      <c r="F169" s="23">
        <f>SUM(F170:F180)*D169</f>
        <v>2330000</v>
      </c>
      <c r="H169" s="12">
        <v>165</v>
      </c>
    </row>
    <row r="170" spans="1:8" s="5" customFormat="1">
      <c r="A170" s="15">
        <v>1</v>
      </c>
      <c r="B170" s="7" t="s">
        <v>77</v>
      </c>
      <c r="C170" s="8" t="str">
        <f>Gia_VLieu!C4</f>
        <v>gram</v>
      </c>
      <c r="D170" s="86">
        <f>Gia_VLieu!D4</f>
        <v>45000</v>
      </c>
      <c r="E170" s="42">
        <v>10</v>
      </c>
      <c r="F170" s="21">
        <f t="shared" ref="F170:F180" si="11">D170*E170</f>
        <v>450000</v>
      </c>
      <c r="H170" s="12">
        <v>166</v>
      </c>
    </row>
    <row r="171" spans="1:8" s="5" customFormat="1">
      <c r="A171" s="15">
        <v>2</v>
      </c>
      <c r="B171" s="7" t="s">
        <v>78</v>
      </c>
      <c r="C171" s="8" t="str">
        <f>Gia_VLieu!C5</f>
        <v>hộp</v>
      </c>
      <c r="D171" s="86">
        <f>Gia_VLieu!D5</f>
        <v>1450000</v>
      </c>
      <c r="E171" s="42">
        <v>0.5</v>
      </c>
      <c r="F171" s="21">
        <f t="shared" si="11"/>
        <v>725000</v>
      </c>
      <c r="H171" s="12">
        <v>167</v>
      </c>
    </row>
    <row r="172" spans="1:8" s="5" customFormat="1">
      <c r="A172" s="15">
        <v>3</v>
      </c>
      <c r="B172" s="7" t="s">
        <v>79</v>
      </c>
      <c r="C172" s="8" t="str">
        <f>Gia_VLieu!C6</f>
        <v>hộp</v>
      </c>
      <c r="D172" s="86">
        <f>Gia_VLieu!D6</f>
        <v>250000</v>
      </c>
      <c r="E172" s="42">
        <v>0.4</v>
      </c>
      <c r="F172" s="21">
        <f t="shared" si="11"/>
        <v>100000</v>
      </c>
      <c r="H172" s="12">
        <v>168</v>
      </c>
    </row>
    <row r="173" spans="1:8" s="5" customFormat="1">
      <c r="A173" s="15">
        <v>4</v>
      </c>
      <c r="B173" s="7" t="s">
        <v>80</v>
      </c>
      <c r="C173" s="8" t="str">
        <f>Gia_VLieu!C7</f>
        <v>quyển</v>
      </c>
      <c r="D173" s="86">
        <f>Gia_VLieu!D7</f>
        <v>10000</v>
      </c>
      <c r="E173" s="42">
        <v>30</v>
      </c>
      <c r="F173" s="21">
        <f t="shared" si="11"/>
        <v>300000</v>
      </c>
      <c r="H173" s="12">
        <v>169</v>
      </c>
    </row>
    <row r="174" spans="1:8" s="5" customFormat="1">
      <c r="A174" s="15">
        <v>5</v>
      </c>
      <c r="B174" s="7" t="s">
        <v>21</v>
      </c>
      <c r="C174" s="8" t="str">
        <f>Gia_VLieu!C8</f>
        <v>cái</v>
      </c>
      <c r="D174" s="86">
        <f>Gia_VLieu!D8</f>
        <v>2000</v>
      </c>
      <c r="E174" s="42">
        <v>32</v>
      </c>
      <c r="F174" s="21">
        <f t="shared" si="11"/>
        <v>64000</v>
      </c>
      <c r="H174" s="12">
        <v>170</v>
      </c>
    </row>
    <row r="175" spans="1:8" s="5" customFormat="1">
      <c r="A175" s="15">
        <v>6</v>
      </c>
      <c r="B175" s="7" t="s">
        <v>82</v>
      </c>
      <c r="C175" s="8" t="str">
        <f>Gia_VLieu!C9</f>
        <v>cái</v>
      </c>
      <c r="D175" s="86">
        <f>Gia_VLieu!D9</f>
        <v>8000</v>
      </c>
      <c r="E175" s="42">
        <v>15</v>
      </c>
      <c r="F175" s="21">
        <f t="shared" si="11"/>
        <v>120000</v>
      </c>
      <c r="H175" s="12">
        <v>171</v>
      </c>
    </row>
    <row r="176" spans="1:8" s="5" customFormat="1">
      <c r="A176" s="15">
        <v>7</v>
      </c>
      <c r="B176" s="7" t="s">
        <v>83</v>
      </c>
      <c r="C176" s="8" t="str">
        <f>Gia_VLieu!C10</f>
        <v>cái</v>
      </c>
      <c r="D176" s="86">
        <f>Gia_VLieu!D10</f>
        <v>10000</v>
      </c>
      <c r="E176" s="42">
        <v>15</v>
      </c>
      <c r="F176" s="21">
        <f t="shared" si="11"/>
        <v>150000</v>
      </c>
      <c r="H176" s="12">
        <v>172</v>
      </c>
    </row>
    <row r="177" spans="1:8" s="5" customFormat="1">
      <c r="A177" s="15">
        <v>8</v>
      </c>
      <c r="B177" s="7" t="s">
        <v>84</v>
      </c>
      <c r="C177" s="8" t="str">
        <f>Gia_VLieu!C11</f>
        <v>hộp</v>
      </c>
      <c r="D177" s="86">
        <f>Gia_VLieu!D11</f>
        <v>2500</v>
      </c>
      <c r="E177" s="42">
        <v>10</v>
      </c>
      <c r="F177" s="21">
        <f t="shared" si="11"/>
        <v>25000</v>
      </c>
      <c r="H177" s="12">
        <v>173</v>
      </c>
    </row>
    <row r="178" spans="1:8" s="5" customFormat="1">
      <c r="A178" s="15">
        <v>9</v>
      </c>
      <c r="B178" s="7" t="s">
        <v>85</v>
      </c>
      <c r="C178" s="8" t="str">
        <f>Gia_VLieu!C12</f>
        <v>hộp</v>
      </c>
      <c r="D178" s="86">
        <f>Gia_VLieu!D12</f>
        <v>2000</v>
      </c>
      <c r="E178" s="42">
        <v>8</v>
      </c>
      <c r="F178" s="21">
        <f t="shared" si="11"/>
        <v>16000</v>
      </c>
      <c r="H178" s="12">
        <v>174</v>
      </c>
    </row>
    <row r="179" spans="1:8" s="5" customFormat="1">
      <c r="A179" s="15">
        <v>10</v>
      </c>
      <c r="B179" s="7" t="s">
        <v>86</v>
      </c>
      <c r="C179" s="8" t="str">
        <f>Gia_VLieu!C13</f>
        <v>tập</v>
      </c>
      <c r="D179" s="86">
        <f>Gia_VLieu!D13</f>
        <v>8000</v>
      </c>
      <c r="E179" s="42">
        <v>10</v>
      </c>
      <c r="F179" s="21">
        <f t="shared" si="11"/>
        <v>80000</v>
      </c>
      <c r="H179" s="12">
        <v>175</v>
      </c>
    </row>
    <row r="180" spans="1:8" s="5" customFormat="1">
      <c r="A180" s="57">
        <v>11</v>
      </c>
      <c r="B180" s="58" t="s">
        <v>87</v>
      </c>
      <c r="C180" s="59" t="str">
        <f>Gia_VLieu!C14</f>
        <v>cái</v>
      </c>
      <c r="D180" s="87">
        <f>Gia_VLieu!D14</f>
        <v>15000</v>
      </c>
      <c r="E180" s="68">
        <v>20</v>
      </c>
      <c r="F180" s="55">
        <f t="shared" si="11"/>
        <v>300000</v>
      </c>
      <c r="H180" s="12">
        <v>176</v>
      </c>
    </row>
    <row r="181" spans="1:8" s="46" customFormat="1">
      <c r="A181" s="44" t="e">
        <f>#REF!</f>
        <v>#REF!</v>
      </c>
      <c r="B181" s="45" t="e">
        <f>#REF!</f>
        <v>#REF!</v>
      </c>
      <c r="C181" s="20"/>
      <c r="D181" s="151">
        <f>Gia_VLieu!D$16</f>
        <v>1</v>
      </c>
      <c r="E181" s="63"/>
      <c r="F181" s="23">
        <f>SUM(F182:F192)*D181</f>
        <v>1114500</v>
      </c>
      <c r="H181" s="12">
        <v>177</v>
      </c>
    </row>
    <row r="182" spans="1:8" s="5" customFormat="1">
      <c r="A182" s="15">
        <v>1</v>
      </c>
      <c r="B182" s="7" t="s">
        <v>77</v>
      </c>
      <c r="C182" s="8" t="str">
        <f>Gia_VLieu!C4</f>
        <v>gram</v>
      </c>
      <c r="D182" s="86">
        <f>Gia_VLieu!D4</f>
        <v>45000</v>
      </c>
      <c r="E182" s="42">
        <v>2</v>
      </c>
      <c r="F182" s="21">
        <f t="shared" ref="F182:F192" si="12">D182*E182</f>
        <v>90000</v>
      </c>
      <c r="H182" s="12">
        <v>178</v>
      </c>
    </row>
    <row r="183" spans="1:8" s="5" customFormat="1">
      <c r="A183" s="15">
        <v>2</v>
      </c>
      <c r="B183" s="7" t="s">
        <v>78</v>
      </c>
      <c r="C183" s="8" t="str">
        <f>Gia_VLieu!C5</f>
        <v>hộp</v>
      </c>
      <c r="D183" s="86">
        <f>Gia_VLieu!D5</f>
        <v>1450000</v>
      </c>
      <c r="E183" s="42">
        <v>0.1</v>
      </c>
      <c r="F183" s="21">
        <f t="shared" si="12"/>
        <v>145000</v>
      </c>
      <c r="H183" s="12">
        <v>179</v>
      </c>
    </row>
    <row r="184" spans="1:8" s="5" customFormat="1">
      <c r="A184" s="15">
        <v>3</v>
      </c>
      <c r="B184" s="7" t="s">
        <v>79</v>
      </c>
      <c r="C184" s="8" t="str">
        <f>Gia_VLieu!C6</f>
        <v>hộp</v>
      </c>
      <c r="D184" s="86">
        <f>Gia_VLieu!D6</f>
        <v>250000</v>
      </c>
      <c r="E184" s="42">
        <v>0.05</v>
      </c>
      <c r="F184" s="21">
        <f t="shared" si="12"/>
        <v>12500</v>
      </c>
      <c r="H184" s="12">
        <v>180</v>
      </c>
    </row>
    <row r="185" spans="1:8" s="5" customFormat="1">
      <c r="A185" s="15">
        <v>4</v>
      </c>
      <c r="B185" s="7" t="s">
        <v>80</v>
      </c>
      <c r="C185" s="8" t="str">
        <f>Gia_VLieu!C7</f>
        <v>quyển</v>
      </c>
      <c r="D185" s="86">
        <f>Gia_VLieu!D7</f>
        <v>10000</v>
      </c>
      <c r="E185" s="42">
        <v>25</v>
      </c>
      <c r="F185" s="21">
        <f t="shared" si="12"/>
        <v>250000</v>
      </c>
      <c r="H185" s="12">
        <v>181</v>
      </c>
    </row>
    <row r="186" spans="1:8" s="5" customFormat="1">
      <c r="A186" s="15">
        <v>5</v>
      </c>
      <c r="B186" s="7" t="s">
        <v>21</v>
      </c>
      <c r="C186" s="8" t="str">
        <f>Gia_VLieu!C8</f>
        <v>cái</v>
      </c>
      <c r="D186" s="86">
        <f>Gia_VLieu!D8</f>
        <v>2000</v>
      </c>
      <c r="E186" s="42">
        <v>30</v>
      </c>
      <c r="F186" s="21">
        <f t="shared" si="12"/>
        <v>60000</v>
      </c>
      <c r="H186" s="12">
        <v>182</v>
      </c>
    </row>
    <row r="187" spans="1:8" s="5" customFormat="1">
      <c r="A187" s="15">
        <v>6</v>
      </c>
      <c r="B187" s="7" t="s">
        <v>82</v>
      </c>
      <c r="C187" s="8" t="str">
        <f>Gia_VLieu!C9</f>
        <v>cái</v>
      </c>
      <c r="D187" s="86">
        <f>Gia_VLieu!D9</f>
        <v>8000</v>
      </c>
      <c r="E187" s="42">
        <v>14</v>
      </c>
      <c r="F187" s="21">
        <f t="shared" si="12"/>
        <v>112000</v>
      </c>
      <c r="H187" s="12">
        <v>183</v>
      </c>
    </row>
    <row r="188" spans="1:8" s="5" customFormat="1">
      <c r="A188" s="15">
        <v>7</v>
      </c>
      <c r="B188" s="7" t="s">
        <v>83</v>
      </c>
      <c r="C188" s="8" t="str">
        <f>Gia_VLieu!C10</f>
        <v>cái</v>
      </c>
      <c r="D188" s="86">
        <f>Gia_VLieu!D10</f>
        <v>10000</v>
      </c>
      <c r="E188" s="42">
        <v>14</v>
      </c>
      <c r="F188" s="21">
        <f t="shared" si="12"/>
        <v>140000</v>
      </c>
      <c r="H188" s="12">
        <v>184</v>
      </c>
    </row>
    <row r="189" spans="1:8" s="5" customFormat="1">
      <c r="A189" s="15">
        <v>8</v>
      </c>
      <c r="B189" s="7" t="s">
        <v>84</v>
      </c>
      <c r="C189" s="8" t="str">
        <f>Gia_VLieu!C11</f>
        <v>hộp</v>
      </c>
      <c r="D189" s="86">
        <f>Gia_VLieu!D11</f>
        <v>2500</v>
      </c>
      <c r="E189" s="42">
        <v>8</v>
      </c>
      <c r="F189" s="21">
        <f t="shared" si="12"/>
        <v>20000</v>
      </c>
      <c r="H189" s="12">
        <v>185</v>
      </c>
    </row>
    <row r="190" spans="1:8" s="5" customFormat="1">
      <c r="A190" s="15">
        <v>9</v>
      </c>
      <c r="B190" s="7" t="s">
        <v>85</v>
      </c>
      <c r="C190" s="8" t="str">
        <f>Gia_VLieu!C12</f>
        <v>hộp</v>
      </c>
      <c r="D190" s="86">
        <f>Gia_VLieu!D12</f>
        <v>2000</v>
      </c>
      <c r="E190" s="42">
        <v>6</v>
      </c>
      <c r="F190" s="21">
        <f t="shared" si="12"/>
        <v>12000</v>
      </c>
      <c r="H190" s="12">
        <v>186</v>
      </c>
    </row>
    <row r="191" spans="1:8" s="5" customFormat="1">
      <c r="A191" s="15">
        <v>10</v>
      </c>
      <c r="B191" s="7" t="s">
        <v>86</v>
      </c>
      <c r="C191" s="8" t="str">
        <f>Gia_VLieu!C13</f>
        <v>tập</v>
      </c>
      <c r="D191" s="86">
        <f>Gia_VLieu!D13</f>
        <v>8000</v>
      </c>
      <c r="E191" s="42">
        <v>6</v>
      </c>
      <c r="F191" s="21">
        <f t="shared" si="12"/>
        <v>48000</v>
      </c>
      <c r="H191" s="12">
        <v>187</v>
      </c>
    </row>
    <row r="192" spans="1:8" s="5" customFormat="1">
      <c r="A192" s="57">
        <v>11</v>
      </c>
      <c r="B192" s="58" t="s">
        <v>87</v>
      </c>
      <c r="C192" s="59" t="str">
        <f>Gia_VLieu!C14</f>
        <v>cái</v>
      </c>
      <c r="D192" s="87">
        <f>Gia_VLieu!D14</f>
        <v>15000</v>
      </c>
      <c r="E192" s="68">
        <v>15</v>
      </c>
      <c r="F192" s="55">
        <f t="shared" si="12"/>
        <v>225000</v>
      </c>
      <c r="H192" s="12">
        <v>188</v>
      </c>
    </row>
    <row r="193" spans="1:8" s="46" customFormat="1">
      <c r="A193" s="44" t="e">
        <f>#REF!</f>
        <v>#REF!</v>
      </c>
      <c r="B193" s="45" t="e">
        <f>#REF!</f>
        <v>#REF!</v>
      </c>
      <c r="C193" s="20"/>
      <c r="D193" s="151">
        <f>Gia_VLieu!D$16</f>
        <v>1</v>
      </c>
      <c r="E193" s="63"/>
      <c r="F193" s="23">
        <f>SUM(F194:F204)*D193</f>
        <v>9154500</v>
      </c>
      <c r="H193" s="12">
        <v>189</v>
      </c>
    </row>
    <row r="194" spans="1:8" s="5" customFormat="1">
      <c r="A194" s="15">
        <v>1</v>
      </c>
      <c r="B194" s="7" t="s">
        <v>77</v>
      </c>
      <c r="C194" s="8" t="str">
        <f>Gia_VLieu!C4</f>
        <v>gram</v>
      </c>
      <c r="D194" s="86">
        <f>Gia_VLieu!D4</f>
        <v>45000</v>
      </c>
      <c r="E194" s="42">
        <v>40</v>
      </c>
      <c r="F194" s="21">
        <f t="shared" ref="F194:F204" si="13">D194*E194</f>
        <v>1800000</v>
      </c>
      <c r="H194" s="12">
        <v>190</v>
      </c>
    </row>
    <row r="195" spans="1:8" s="5" customFormat="1">
      <c r="A195" s="15">
        <v>2</v>
      </c>
      <c r="B195" s="7" t="s">
        <v>78</v>
      </c>
      <c r="C195" s="8" t="str">
        <f>Gia_VLieu!C5</f>
        <v>hộp</v>
      </c>
      <c r="D195" s="86">
        <f>Gia_VLieu!D5</f>
        <v>1450000</v>
      </c>
      <c r="E195" s="42">
        <v>3.5</v>
      </c>
      <c r="F195" s="21">
        <f t="shared" si="13"/>
        <v>5075000</v>
      </c>
      <c r="H195" s="12">
        <v>191</v>
      </c>
    </row>
    <row r="196" spans="1:8" s="5" customFormat="1">
      <c r="A196" s="15">
        <v>3</v>
      </c>
      <c r="B196" s="7" t="s">
        <v>79</v>
      </c>
      <c r="C196" s="8" t="str">
        <f>Gia_VLieu!C6</f>
        <v>hộp</v>
      </c>
      <c r="D196" s="86">
        <f>Gia_VLieu!D6</f>
        <v>250000</v>
      </c>
      <c r="E196" s="42">
        <v>1.2</v>
      </c>
      <c r="F196" s="21">
        <f t="shared" si="13"/>
        <v>300000</v>
      </c>
      <c r="H196" s="12">
        <v>192</v>
      </c>
    </row>
    <row r="197" spans="1:8" s="5" customFormat="1">
      <c r="A197" s="15">
        <v>4</v>
      </c>
      <c r="B197" s="7" t="s">
        <v>80</v>
      </c>
      <c r="C197" s="8" t="str">
        <f>Gia_VLieu!C7</f>
        <v>quyển</v>
      </c>
      <c r="D197" s="86">
        <f>Gia_VLieu!D7</f>
        <v>10000</v>
      </c>
      <c r="E197" s="42">
        <v>35</v>
      </c>
      <c r="F197" s="21">
        <f t="shared" si="13"/>
        <v>350000</v>
      </c>
      <c r="H197" s="12">
        <v>193</v>
      </c>
    </row>
    <row r="198" spans="1:8" s="5" customFormat="1">
      <c r="A198" s="15">
        <v>5</v>
      </c>
      <c r="B198" s="7" t="s">
        <v>21</v>
      </c>
      <c r="C198" s="8" t="str">
        <f>Gia_VLieu!C8</f>
        <v>cái</v>
      </c>
      <c r="D198" s="86">
        <f>Gia_VLieu!D8</f>
        <v>2000</v>
      </c>
      <c r="E198" s="42">
        <v>50</v>
      </c>
      <c r="F198" s="21">
        <f t="shared" si="13"/>
        <v>100000</v>
      </c>
      <c r="H198" s="12">
        <v>194</v>
      </c>
    </row>
    <row r="199" spans="1:8" s="5" customFormat="1">
      <c r="A199" s="15">
        <v>6</v>
      </c>
      <c r="B199" s="7" t="s">
        <v>82</v>
      </c>
      <c r="C199" s="8" t="str">
        <f>Gia_VLieu!C9</f>
        <v>cái</v>
      </c>
      <c r="D199" s="86">
        <f>Gia_VLieu!D9</f>
        <v>8000</v>
      </c>
      <c r="E199" s="42">
        <v>40</v>
      </c>
      <c r="F199" s="21">
        <f t="shared" si="13"/>
        <v>320000</v>
      </c>
      <c r="H199" s="12">
        <v>195</v>
      </c>
    </row>
    <row r="200" spans="1:8" s="5" customFormat="1">
      <c r="A200" s="15">
        <v>7</v>
      </c>
      <c r="B200" s="7" t="s">
        <v>83</v>
      </c>
      <c r="C200" s="8" t="str">
        <f>Gia_VLieu!C10</f>
        <v>cái</v>
      </c>
      <c r="D200" s="86">
        <f>Gia_VLieu!D10</f>
        <v>10000</v>
      </c>
      <c r="E200" s="42">
        <v>40</v>
      </c>
      <c r="F200" s="21">
        <f t="shared" si="13"/>
        <v>400000</v>
      </c>
      <c r="H200" s="12">
        <v>196</v>
      </c>
    </row>
    <row r="201" spans="1:8" s="5" customFormat="1">
      <c r="A201" s="15">
        <v>8</v>
      </c>
      <c r="B201" s="7" t="s">
        <v>84</v>
      </c>
      <c r="C201" s="8" t="str">
        <f>Gia_VLieu!C11</f>
        <v>hộp</v>
      </c>
      <c r="D201" s="86">
        <f>Gia_VLieu!D11</f>
        <v>2500</v>
      </c>
      <c r="E201" s="42">
        <v>35</v>
      </c>
      <c r="F201" s="21">
        <f t="shared" si="13"/>
        <v>87500</v>
      </c>
      <c r="H201" s="12">
        <v>197</v>
      </c>
    </row>
    <row r="202" spans="1:8" s="5" customFormat="1">
      <c r="A202" s="15">
        <v>9</v>
      </c>
      <c r="B202" s="7" t="s">
        <v>85</v>
      </c>
      <c r="C202" s="8" t="str">
        <f>Gia_VLieu!C12</f>
        <v>hộp</v>
      </c>
      <c r="D202" s="86">
        <f>Gia_VLieu!D12</f>
        <v>2000</v>
      </c>
      <c r="E202" s="42">
        <v>21</v>
      </c>
      <c r="F202" s="21">
        <f t="shared" si="13"/>
        <v>42000</v>
      </c>
      <c r="H202" s="12">
        <v>198</v>
      </c>
    </row>
    <row r="203" spans="1:8" s="5" customFormat="1">
      <c r="A203" s="15">
        <v>10</v>
      </c>
      <c r="B203" s="7" t="s">
        <v>86</v>
      </c>
      <c r="C203" s="8" t="str">
        <f>Gia_VLieu!C13</f>
        <v>tập</v>
      </c>
      <c r="D203" s="86">
        <f>Gia_VLieu!D13</f>
        <v>8000</v>
      </c>
      <c r="E203" s="42">
        <v>25</v>
      </c>
      <c r="F203" s="21">
        <f t="shared" si="13"/>
        <v>200000</v>
      </c>
      <c r="H203" s="12">
        <v>199</v>
      </c>
    </row>
    <row r="204" spans="1:8" s="5" customFormat="1">
      <c r="A204" s="57">
        <v>11</v>
      </c>
      <c r="B204" s="58" t="s">
        <v>87</v>
      </c>
      <c r="C204" s="59" t="str">
        <f>Gia_VLieu!C14</f>
        <v>cái</v>
      </c>
      <c r="D204" s="87">
        <f>Gia_VLieu!D14</f>
        <v>15000</v>
      </c>
      <c r="E204" s="68">
        <v>32</v>
      </c>
      <c r="F204" s="55">
        <f t="shared" si="13"/>
        <v>480000</v>
      </c>
      <c r="H204" s="12">
        <v>200</v>
      </c>
    </row>
    <row r="205" spans="1:8" s="16" customFormat="1">
      <c r="A205" s="14" t="e">
        <f>#REF!</f>
        <v>#REF!</v>
      </c>
      <c r="B205" s="10" t="e">
        <f>#REF!</f>
        <v>#REF!</v>
      </c>
      <c r="C205" s="9"/>
      <c r="D205" s="92"/>
      <c r="E205" s="66"/>
      <c r="F205" s="22"/>
      <c r="H205" s="12">
        <v>201</v>
      </c>
    </row>
    <row r="206" spans="1:8" s="46" customFormat="1">
      <c r="A206" s="44" t="e">
        <f>#REF!</f>
        <v>#REF!</v>
      </c>
      <c r="B206" s="45" t="e">
        <f>#REF!</f>
        <v>#REF!</v>
      </c>
      <c r="C206" s="20"/>
      <c r="D206" s="90"/>
      <c r="E206" s="63"/>
      <c r="F206" s="23"/>
      <c r="H206" s="12">
        <v>202</v>
      </c>
    </row>
    <row r="207" spans="1:8" s="46" customFormat="1">
      <c r="A207" s="44" t="e">
        <f>#REF!</f>
        <v>#REF!</v>
      </c>
      <c r="B207" s="45" t="e">
        <f>#REF!</f>
        <v>#REF!</v>
      </c>
      <c r="C207" s="20"/>
      <c r="D207" s="90"/>
      <c r="E207" s="63"/>
      <c r="F207" s="23">
        <f>SUM(F210:F220)</f>
        <v>1173200</v>
      </c>
      <c r="H207" s="12">
        <v>203</v>
      </c>
    </row>
    <row r="208" spans="1:8" s="16" customFormat="1">
      <c r="A208" s="14" t="e">
        <f>#REF!</f>
        <v>#REF!</v>
      </c>
      <c r="B208" s="10" t="e">
        <f>#REF!</f>
        <v>#REF!</v>
      </c>
      <c r="C208" s="9"/>
      <c r="D208" s="92"/>
      <c r="E208" s="66"/>
      <c r="F208" s="22"/>
      <c r="H208" s="12">
        <v>204</v>
      </c>
    </row>
    <row r="209" spans="1:8" s="46" customFormat="1">
      <c r="A209" s="44" t="e">
        <f>#REF!</f>
        <v>#REF!</v>
      </c>
      <c r="B209" s="45" t="e">
        <f>#REF!</f>
        <v>#REF!</v>
      </c>
      <c r="C209" s="20"/>
      <c r="D209" s="151">
        <f>Gia_VLieu!D$16</f>
        <v>1</v>
      </c>
      <c r="E209" s="63"/>
      <c r="F209" s="23">
        <f>SUM(F210:F220)*D209</f>
        <v>1173200</v>
      </c>
      <c r="H209" s="12">
        <v>205</v>
      </c>
    </row>
    <row r="210" spans="1:8" s="5" customFormat="1">
      <c r="A210" s="15">
        <v>1</v>
      </c>
      <c r="B210" s="7" t="s">
        <v>77</v>
      </c>
      <c r="C210" s="8" t="str">
        <f>Gia_VLieu!C4</f>
        <v>gram</v>
      </c>
      <c r="D210" s="86">
        <f>Gia_VLieu!D4</f>
        <v>45000</v>
      </c>
      <c r="E210" s="42">
        <v>5</v>
      </c>
      <c r="F210" s="21">
        <f t="shared" ref="F210:F220" si="14">D210*E210</f>
        <v>225000</v>
      </c>
      <c r="H210" s="12">
        <v>206</v>
      </c>
    </row>
    <row r="211" spans="1:8" s="5" customFormat="1">
      <c r="A211" s="15">
        <v>2</v>
      </c>
      <c r="B211" s="7" t="s">
        <v>78</v>
      </c>
      <c r="C211" s="8" t="str">
        <f>Gia_VLieu!C5</f>
        <v>hộp</v>
      </c>
      <c r="D211" s="86">
        <f>Gia_VLieu!D5</f>
        <v>1450000</v>
      </c>
      <c r="E211" s="42">
        <v>0.02</v>
      </c>
      <c r="F211" s="21">
        <f t="shared" si="14"/>
        <v>29000</v>
      </c>
      <c r="H211" s="12">
        <v>207</v>
      </c>
    </row>
    <row r="212" spans="1:8" s="5" customFormat="1">
      <c r="A212" s="15">
        <v>3</v>
      </c>
      <c r="B212" s="7" t="s">
        <v>79</v>
      </c>
      <c r="C212" s="8" t="str">
        <f>Gia_VLieu!C6</f>
        <v>hộp</v>
      </c>
      <c r="D212" s="86">
        <f>Gia_VLieu!D6</f>
        <v>250000</v>
      </c>
      <c r="E212" s="42">
        <v>0.01</v>
      </c>
      <c r="F212" s="21">
        <f t="shared" si="14"/>
        <v>2500</v>
      </c>
      <c r="H212" s="12">
        <v>208</v>
      </c>
    </row>
    <row r="213" spans="1:8" s="5" customFormat="1">
      <c r="A213" s="15">
        <v>4</v>
      </c>
      <c r="B213" s="7" t="s">
        <v>80</v>
      </c>
      <c r="C213" s="8" t="str">
        <f>Gia_VLieu!C7</f>
        <v>quyển</v>
      </c>
      <c r="D213" s="86">
        <f>Gia_VLieu!D7</f>
        <v>10000</v>
      </c>
      <c r="E213" s="42">
        <v>5</v>
      </c>
      <c r="F213" s="21">
        <f t="shared" si="14"/>
        <v>50000</v>
      </c>
      <c r="H213" s="12">
        <v>209</v>
      </c>
    </row>
    <row r="214" spans="1:8" s="5" customFormat="1">
      <c r="A214" s="15">
        <v>5</v>
      </c>
      <c r="B214" s="7" t="s">
        <v>21</v>
      </c>
      <c r="C214" s="8" t="str">
        <f>Gia_VLieu!C8</f>
        <v>cái</v>
      </c>
      <c r="D214" s="86">
        <f>Gia_VLieu!D8</f>
        <v>2000</v>
      </c>
      <c r="E214" s="42">
        <v>11</v>
      </c>
      <c r="F214" s="21">
        <f t="shared" si="14"/>
        <v>22000</v>
      </c>
      <c r="H214" s="12">
        <v>210</v>
      </c>
    </row>
    <row r="215" spans="1:8" s="5" customFormat="1">
      <c r="A215" s="15">
        <v>6</v>
      </c>
      <c r="B215" s="7" t="s">
        <v>82</v>
      </c>
      <c r="C215" s="8" t="str">
        <f>Gia_VLieu!C9</f>
        <v>cái</v>
      </c>
      <c r="D215" s="86">
        <f>Gia_VLieu!D9</f>
        <v>8000</v>
      </c>
      <c r="E215" s="42">
        <v>40</v>
      </c>
      <c r="F215" s="21">
        <f t="shared" si="14"/>
        <v>320000</v>
      </c>
      <c r="H215" s="12">
        <v>211</v>
      </c>
    </row>
    <row r="216" spans="1:8" s="5" customFormat="1">
      <c r="A216" s="15">
        <v>7</v>
      </c>
      <c r="B216" s="7" t="s">
        <v>83</v>
      </c>
      <c r="C216" s="8" t="str">
        <f>Gia_VLieu!C10</f>
        <v>cái</v>
      </c>
      <c r="D216" s="86">
        <f>Gia_VLieu!D10</f>
        <v>10000</v>
      </c>
      <c r="E216" s="42">
        <v>40</v>
      </c>
      <c r="F216" s="21">
        <f t="shared" si="14"/>
        <v>400000</v>
      </c>
      <c r="H216" s="12">
        <v>212</v>
      </c>
    </row>
    <row r="217" spans="1:8" s="5" customFormat="1">
      <c r="A217" s="15">
        <v>8</v>
      </c>
      <c r="B217" s="7" t="s">
        <v>84</v>
      </c>
      <c r="C217" s="8" t="str">
        <f>Gia_VLieu!C11</f>
        <v>hộp</v>
      </c>
      <c r="D217" s="86">
        <f>Gia_VLieu!D11</f>
        <v>2500</v>
      </c>
      <c r="E217" s="42">
        <v>8</v>
      </c>
      <c r="F217" s="21">
        <f t="shared" si="14"/>
        <v>20000</v>
      </c>
      <c r="H217" s="12">
        <v>213</v>
      </c>
    </row>
    <row r="218" spans="1:8" s="5" customFormat="1">
      <c r="A218" s="15">
        <v>9</v>
      </c>
      <c r="B218" s="7" t="s">
        <v>85</v>
      </c>
      <c r="C218" s="8" t="str">
        <f>Gia_VLieu!C12</f>
        <v>hộp</v>
      </c>
      <c r="D218" s="86">
        <f>Gia_VLieu!D12</f>
        <v>2000</v>
      </c>
      <c r="E218" s="42">
        <v>4</v>
      </c>
      <c r="F218" s="21">
        <f t="shared" si="14"/>
        <v>8000</v>
      </c>
      <c r="H218" s="12">
        <v>214</v>
      </c>
    </row>
    <row r="219" spans="1:8" s="5" customFormat="1">
      <c r="A219" s="15">
        <v>10</v>
      </c>
      <c r="B219" s="7" t="s">
        <v>86</v>
      </c>
      <c r="C219" s="8" t="str">
        <f>Gia_VLieu!C13</f>
        <v>tập</v>
      </c>
      <c r="D219" s="86">
        <f>Gia_VLieu!D13</f>
        <v>8000</v>
      </c>
      <c r="E219" s="42">
        <v>5</v>
      </c>
      <c r="F219" s="21">
        <f t="shared" si="14"/>
        <v>40000</v>
      </c>
      <c r="H219" s="12">
        <v>215</v>
      </c>
    </row>
    <row r="220" spans="1:8" s="5" customFormat="1">
      <c r="A220" s="57">
        <v>11</v>
      </c>
      <c r="B220" s="58" t="s">
        <v>87</v>
      </c>
      <c r="C220" s="59" t="str">
        <f>Gia_VLieu!C14</f>
        <v>cái</v>
      </c>
      <c r="D220" s="87">
        <f>Gia_VLieu!D14</f>
        <v>15000</v>
      </c>
      <c r="E220" s="68">
        <v>3.78</v>
      </c>
      <c r="F220" s="55">
        <f t="shared" si="14"/>
        <v>56700</v>
      </c>
      <c r="H220" s="12">
        <v>216</v>
      </c>
    </row>
    <row r="221" spans="1:8" s="46" customFormat="1">
      <c r="A221" s="44" t="e">
        <f>#REF!</f>
        <v>#REF!</v>
      </c>
      <c r="B221" s="45" t="e">
        <f>#REF!</f>
        <v>#REF!</v>
      </c>
      <c r="C221" s="20"/>
      <c r="D221" s="151">
        <f>Gia_VLieu!D$16</f>
        <v>1</v>
      </c>
      <c r="E221" s="63"/>
      <c r="F221" s="23">
        <f>SUM(F222:F232)*D221</f>
        <v>1187000</v>
      </c>
      <c r="H221" s="12">
        <v>217</v>
      </c>
    </row>
    <row r="222" spans="1:8" s="5" customFormat="1">
      <c r="A222" s="15">
        <v>1</v>
      </c>
      <c r="B222" s="7" t="s">
        <v>77</v>
      </c>
      <c r="C222" s="8" t="str">
        <f>Gia_VLieu!C4</f>
        <v>gram</v>
      </c>
      <c r="D222" s="86">
        <f>Gia_VLieu!D4</f>
        <v>45000</v>
      </c>
      <c r="E222" s="42">
        <v>1</v>
      </c>
      <c r="F222" s="21">
        <f t="shared" ref="F222:F232" si="15">D222*E222</f>
        <v>45000</v>
      </c>
      <c r="H222" s="12">
        <v>218</v>
      </c>
    </row>
    <row r="223" spans="1:8" s="5" customFormat="1">
      <c r="A223" s="15">
        <v>2</v>
      </c>
      <c r="B223" s="7" t="s">
        <v>78</v>
      </c>
      <c r="C223" s="8" t="str">
        <f>Gia_VLieu!C5</f>
        <v>hộp</v>
      </c>
      <c r="D223" s="86">
        <f>Gia_VLieu!D5</f>
        <v>1450000</v>
      </c>
      <c r="E223" s="42">
        <v>0.01</v>
      </c>
      <c r="F223" s="21">
        <f t="shared" si="15"/>
        <v>14500</v>
      </c>
      <c r="H223" s="12">
        <v>219</v>
      </c>
    </row>
    <row r="224" spans="1:8" s="5" customFormat="1">
      <c r="A224" s="15">
        <v>3</v>
      </c>
      <c r="B224" s="7" t="s">
        <v>79</v>
      </c>
      <c r="C224" s="8" t="str">
        <f>Gia_VLieu!C6</f>
        <v>hộp</v>
      </c>
      <c r="D224" s="86">
        <f>Gia_VLieu!D6</f>
        <v>250000</v>
      </c>
      <c r="E224" s="42">
        <v>0.01</v>
      </c>
      <c r="F224" s="21">
        <f t="shared" si="15"/>
        <v>2500</v>
      </c>
      <c r="H224" s="12">
        <v>220</v>
      </c>
    </row>
    <row r="225" spans="1:8" s="5" customFormat="1">
      <c r="A225" s="15">
        <v>4</v>
      </c>
      <c r="B225" s="7" t="s">
        <v>80</v>
      </c>
      <c r="C225" s="8" t="str">
        <f>Gia_VLieu!C7</f>
        <v>quyển</v>
      </c>
      <c r="D225" s="86">
        <f>Gia_VLieu!D7</f>
        <v>10000</v>
      </c>
      <c r="E225" s="42">
        <v>4</v>
      </c>
      <c r="F225" s="21">
        <f t="shared" si="15"/>
        <v>40000</v>
      </c>
      <c r="H225" s="12">
        <v>221</v>
      </c>
    </row>
    <row r="226" spans="1:8" s="5" customFormat="1">
      <c r="A226" s="15">
        <v>5</v>
      </c>
      <c r="B226" s="7" t="s">
        <v>21</v>
      </c>
      <c r="C226" s="8" t="str">
        <f>Gia_VLieu!C8</f>
        <v>cái</v>
      </c>
      <c r="D226" s="86">
        <f>Gia_VLieu!D8</f>
        <v>2000</v>
      </c>
      <c r="E226" s="42">
        <v>6</v>
      </c>
      <c r="F226" s="21">
        <f t="shared" si="15"/>
        <v>12000</v>
      </c>
      <c r="H226" s="12">
        <v>222</v>
      </c>
    </row>
    <row r="227" spans="1:8" s="5" customFormat="1">
      <c r="A227" s="15">
        <v>6</v>
      </c>
      <c r="B227" s="7" t="s">
        <v>82</v>
      </c>
      <c r="C227" s="8" t="str">
        <f>Gia_VLieu!C9</f>
        <v>cái</v>
      </c>
      <c r="D227" s="86">
        <f>Gia_VLieu!D9</f>
        <v>8000</v>
      </c>
      <c r="E227" s="42">
        <v>40</v>
      </c>
      <c r="F227" s="21">
        <f t="shared" si="15"/>
        <v>320000</v>
      </c>
      <c r="H227" s="12">
        <v>223</v>
      </c>
    </row>
    <row r="228" spans="1:8" s="5" customFormat="1">
      <c r="A228" s="15">
        <v>7</v>
      </c>
      <c r="B228" s="7" t="s">
        <v>83</v>
      </c>
      <c r="C228" s="8" t="str">
        <f>Gia_VLieu!C10</f>
        <v>cái</v>
      </c>
      <c r="D228" s="86">
        <f>Gia_VLieu!D10</f>
        <v>10000</v>
      </c>
      <c r="E228" s="42">
        <v>40</v>
      </c>
      <c r="F228" s="21">
        <f t="shared" si="15"/>
        <v>400000</v>
      </c>
      <c r="H228" s="12">
        <v>224</v>
      </c>
    </row>
    <row r="229" spans="1:8" s="5" customFormat="1">
      <c r="A229" s="15">
        <v>8</v>
      </c>
      <c r="B229" s="7" t="s">
        <v>84</v>
      </c>
      <c r="C229" s="8" t="str">
        <f>Gia_VLieu!C11</f>
        <v>hộp</v>
      </c>
      <c r="D229" s="86">
        <f>Gia_VLieu!D11</f>
        <v>2500</v>
      </c>
      <c r="E229" s="42">
        <v>6</v>
      </c>
      <c r="F229" s="21">
        <f t="shared" si="15"/>
        <v>15000</v>
      </c>
      <c r="H229" s="12">
        <v>225</v>
      </c>
    </row>
    <row r="230" spans="1:8" s="5" customFormat="1">
      <c r="A230" s="15">
        <v>9</v>
      </c>
      <c r="B230" s="7" t="s">
        <v>85</v>
      </c>
      <c r="C230" s="8" t="str">
        <f>Gia_VLieu!C12</f>
        <v>hộp</v>
      </c>
      <c r="D230" s="86">
        <f>Gia_VLieu!D12</f>
        <v>2000</v>
      </c>
      <c r="E230" s="42">
        <v>3</v>
      </c>
      <c r="F230" s="21">
        <f t="shared" si="15"/>
        <v>6000</v>
      </c>
      <c r="H230" s="12">
        <v>226</v>
      </c>
    </row>
    <row r="231" spans="1:8" s="5" customFormat="1">
      <c r="A231" s="15">
        <v>10</v>
      </c>
      <c r="B231" s="7" t="s">
        <v>86</v>
      </c>
      <c r="C231" s="8" t="str">
        <f>Gia_VLieu!C13</f>
        <v>tập</v>
      </c>
      <c r="D231" s="86">
        <f>Gia_VLieu!D13</f>
        <v>8000</v>
      </c>
      <c r="E231" s="42">
        <v>4</v>
      </c>
      <c r="F231" s="21">
        <f t="shared" si="15"/>
        <v>32000</v>
      </c>
      <c r="H231" s="12">
        <v>227</v>
      </c>
    </row>
    <row r="232" spans="1:8" s="5" customFormat="1">
      <c r="A232" s="57">
        <v>11</v>
      </c>
      <c r="B232" s="58" t="s">
        <v>87</v>
      </c>
      <c r="C232" s="59" t="str">
        <f>Gia_VLieu!C14</f>
        <v>cái</v>
      </c>
      <c r="D232" s="87">
        <f>Gia_VLieu!D14</f>
        <v>15000</v>
      </c>
      <c r="E232" s="68">
        <v>20</v>
      </c>
      <c r="F232" s="55">
        <f t="shared" si="15"/>
        <v>300000</v>
      </c>
      <c r="H232" s="12">
        <v>228</v>
      </c>
    </row>
    <row r="233" spans="1:8" s="46" customFormat="1">
      <c r="A233" s="44" t="e">
        <f>#REF!</f>
        <v>#REF!</v>
      </c>
      <c r="B233" s="45" t="e">
        <f>#REF!</f>
        <v>#REF!</v>
      </c>
      <c r="C233" s="20"/>
      <c r="D233" s="90"/>
      <c r="E233" s="63"/>
      <c r="F233" s="23"/>
      <c r="H233" s="12">
        <v>229</v>
      </c>
    </row>
    <row r="234" spans="1:8" s="5" customFormat="1">
      <c r="A234" s="15" t="e">
        <f>#REF!</f>
        <v>#REF!</v>
      </c>
      <c r="B234" s="7" t="e">
        <f>#REF!</f>
        <v>#REF!</v>
      </c>
      <c r="C234" s="8"/>
      <c r="D234" s="151">
        <f>Gia_VLieu!D$16</f>
        <v>1</v>
      </c>
      <c r="E234" s="63"/>
      <c r="F234" s="23">
        <f>SUM(F235:F245)*D234</f>
        <v>602000</v>
      </c>
      <c r="H234" s="12">
        <v>230</v>
      </c>
    </row>
    <row r="235" spans="1:8" s="5" customFormat="1">
      <c r="A235" s="15">
        <v>1</v>
      </c>
      <c r="B235" s="7" t="s">
        <v>77</v>
      </c>
      <c r="C235" s="8" t="str">
        <f>Gia_VLieu!C4</f>
        <v>gram</v>
      </c>
      <c r="D235" s="86">
        <f>Gia_VLieu!D4</f>
        <v>45000</v>
      </c>
      <c r="E235" s="42">
        <v>0.5</v>
      </c>
      <c r="F235" s="21">
        <f t="shared" ref="F235:F245" si="16">D235*E235</f>
        <v>22500</v>
      </c>
      <c r="H235" s="12">
        <v>231</v>
      </c>
    </row>
    <row r="236" spans="1:8" s="5" customFormat="1">
      <c r="A236" s="15">
        <v>2</v>
      </c>
      <c r="B236" s="7" t="s">
        <v>78</v>
      </c>
      <c r="C236" s="8" t="str">
        <f>Gia_VLieu!C5</f>
        <v>hộp</v>
      </c>
      <c r="D236" s="86">
        <f>Gia_VLieu!D5</f>
        <v>1450000</v>
      </c>
      <c r="E236" s="42">
        <v>0.01</v>
      </c>
      <c r="F236" s="21">
        <f t="shared" si="16"/>
        <v>14500</v>
      </c>
      <c r="H236" s="12">
        <v>232</v>
      </c>
    </row>
    <row r="237" spans="1:8" s="5" customFormat="1">
      <c r="A237" s="15">
        <v>3</v>
      </c>
      <c r="B237" s="7" t="s">
        <v>79</v>
      </c>
      <c r="C237" s="8" t="str">
        <f>Gia_VLieu!C6</f>
        <v>hộp</v>
      </c>
      <c r="D237" s="86">
        <f>Gia_VLieu!D6</f>
        <v>250000</v>
      </c>
      <c r="E237" s="42">
        <v>0.01</v>
      </c>
      <c r="F237" s="21">
        <f t="shared" si="16"/>
        <v>2500</v>
      </c>
      <c r="H237" s="12">
        <v>233</v>
      </c>
    </row>
    <row r="238" spans="1:8" s="5" customFormat="1">
      <c r="A238" s="15">
        <v>4</v>
      </c>
      <c r="B238" s="7" t="s">
        <v>80</v>
      </c>
      <c r="C238" s="8" t="str">
        <f>Gia_VLieu!C7</f>
        <v>quyển</v>
      </c>
      <c r="D238" s="86">
        <f>Gia_VLieu!D7</f>
        <v>10000</v>
      </c>
      <c r="E238" s="42">
        <v>2</v>
      </c>
      <c r="F238" s="21">
        <f t="shared" si="16"/>
        <v>20000</v>
      </c>
      <c r="H238" s="12">
        <v>234</v>
      </c>
    </row>
    <row r="239" spans="1:8" s="5" customFormat="1">
      <c r="A239" s="15">
        <v>5</v>
      </c>
      <c r="B239" s="7" t="s">
        <v>21</v>
      </c>
      <c r="C239" s="8" t="str">
        <f>Gia_VLieu!C8</f>
        <v>cái</v>
      </c>
      <c r="D239" s="86">
        <f>Gia_VLieu!D8</f>
        <v>2000</v>
      </c>
      <c r="E239" s="42">
        <v>3</v>
      </c>
      <c r="F239" s="21">
        <f t="shared" si="16"/>
        <v>6000</v>
      </c>
      <c r="H239" s="12">
        <v>235</v>
      </c>
    </row>
    <row r="240" spans="1:8" s="5" customFormat="1">
      <c r="A240" s="15">
        <v>6</v>
      </c>
      <c r="B240" s="7" t="s">
        <v>82</v>
      </c>
      <c r="C240" s="8" t="str">
        <f>Gia_VLieu!C9</f>
        <v>cái</v>
      </c>
      <c r="D240" s="86">
        <f>Gia_VLieu!D9</f>
        <v>8000</v>
      </c>
      <c r="E240" s="42">
        <v>20</v>
      </c>
      <c r="F240" s="21">
        <f t="shared" si="16"/>
        <v>160000</v>
      </c>
      <c r="H240" s="12">
        <v>236</v>
      </c>
    </row>
    <row r="241" spans="1:8" s="5" customFormat="1">
      <c r="A241" s="15">
        <v>7</v>
      </c>
      <c r="B241" s="7" t="s">
        <v>83</v>
      </c>
      <c r="C241" s="8" t="str">
        <f>Gia_VLieu!C10</f>
        <v>cái</v>
      </c>
      <c r="D241" s="86">
        <f>Gia_VLieu!D10</f>
        <v>10000</v>
      </c>
      <c r="E241" s="42">
        <v>20</v>
      </c>
      <c r="F241" s="21">
        <f t="shared" si="16"/>
        <v>200000</v>
      </c>
      <c r="H241" s="12">
        <v>237</v>
      </c>
    </row>
    <row r="242" spans="1:8" s="5" customFormat="1">
      <c r="A242" s="15">
        <v>8</v>
      </c>
      <c r="B242" s="7" t="s">
        <v>84</v>
      </c>
      <c r="C242" s="8" t="str">
        <f>Gia_VLieu!C11</f>
        <v>hộp</v>
      </c>
      <c r="D242" s="86">
        <f>Gia_VLieu!D11</f>
        <v>2500</v>
      </c>
      <c r="E242" s="42">
        <v>3</v>
      </c>
      <c r="F242" s="21">
        <f t="shared" si="16"/>
        <v>7500</v>
      </c>
      <c r="H242" s="12">
        <v>238</v>
      </c>
    </row>
    <row r="243" spans="1:8" s="5" customFormat="1">
      <c r="A243" s="15">
        <v>9</v>
      </c>
      <c r="B243" s="7" t="s">
        <v>85</v>
      </c>
      <c r="C243" s="8" t="str">
        <f>Gia_VLieu!C12</f>
        <v>hộp</v>
      </c>
      <c r="D243" s="86">
        <f>Gia_VLieu!D12</f>
        <v>2000</v>
      </c>
      <c r="E243" s="42">
        <v>1.5</v>
      </c>
      <c r="F243" s="21">
        <f t="shared" si="16"/>
        <v>3000</v>
      </c>
      <c r="H243" s="12">
        <v>239</v>
      </c>
    </row>
    <row r="244" spans="1:8" s="5" customFormat="1">
      <c r="A244" s="15">
        <v>10</v>
      </c>
      <c r="B244" s="7" t="s">
        <v>86</v>
      </c>
      <c r="C244" s="8" t="str">
        <f>Gia_VLieu!C13</f>
        <v>tập</v>
      </c>
      <c r="D244" s="86">
        <f>Gia_VLieu!D13</f>
        <v>8000</v>
      </c>
      <c r="E244" s="42">
        <v>2</v>
      </c>
      <c r="F244" s="21">
        <f t="shared" si="16"/>
        <v>16000</v>
      </c>
      <c r="H244" s="12">
        <v>240</v>
      </c>
    </row>
    <row r="245" spans="1:8" s="5" customFormat="1">
      <c r="A245" s="57">
        <v>11</v>
      </c>
      <c r="B245" s="58" t="s">
        <v>87</v>
      </c>
      <c r="C245" s="59" t="str">
        <f>Gia_VLieu!C14</f>
        <v>cái</v>
      </c>
      <c r="D245" s="87">
        <f>Gia_VLieu!D14</f>
        <v>15000</v>
      </c>
      <c r="E245" s="68">
        <v>10</v>
      </c>
      <c r="F245" s="55">
        <f t="shared" si="16"/>
        <v>150000</v>
      </c>
      <c r="H245" s="12">
        <v>241</v>
      </c>
    </row>
    <row r="246" spans="1:8" s="5" customFormat="1">
      <c r="A246" s="15" t="e">
        <f>#REF!</f>
        <v>#REF!</v>
      </c>
      <c r="B246" s="7" t="e">
        <f>#REF!</f>
        <v>#REF!</v>
      </c>
      <c r="C246" s="8"/>
      <c r="D246" s="151">
        <f>Gia_VLieu!D$16</f>
        <v>1</v>
      </c>
      <c r="E246" s="63"/>
      <c r="F246" s="23">
        <f>SUM(F247:F257)*D246</f>
        <v>580000</v>
      </c>
      <c r="H246" s="12">
        <v>242</v>
      </c>
    </row>
    <row r="247" spans="1:8" s="5" customFormat="1">
      <c r="A247" s="15">
        <v>1</v>
      </c>
      <c r="B247" s="7" t="s">
        <v>77</v>
      </c>
      <c r="C247" s="8" t="str">
        <f>Gia_VLieu!C4</f>
        <v>gram</v>
      </c>
      <c r="D247" s="86">
        <f>Gia_VLieu!D4</f>
        <v>45000</v>
      </c>
      <c r="E247" s="42">
        <v>2</v>
      </c>
      <c r="F247" s="21">
        <f t="shared" ref="F247:F257" si="17">D247*E247</f>
        <v>90000</v>
      </c>
      <c r="H247" s="12">
        <v>243</v>
      </c>
    </row>
    <row r="248" spans="1:8" s="5" customFormat="1">
      <c r="A248" s="15">
        <v>2</v>
      </c>
      <c r="B248" s="7" t="s">
        <v>78</v>
      </c>
      <c r="C248" s="8" t="str">
        <f>Gia_VLieu!C5</f>
        <v>hộp</v>
      </c>
      <c r="D248" s="86">
        <f>Gia_VLieu!D5</f>
        <v>1450000</v>
      </c>
      <c r="E248" s="42">
        <v>0.02</v>
      </c>
      <c r="F248" s="21">
        <f t="shared" si="17"/>
        <v>29000</v>
      </c>
      <c r="H248" s="12">
        <v>244</v>
      </c>
    </row>
    <row r="249" spans="1:8" s="5" customFormat="1">
      <c r="A249" s="15">
        <v>3</v>
      </c>
      <c r="B249" s="7" t="s">
        <v>79</v>
      </c>
      <c r="C249" s="8" t="str">
        <f>Gia_VLieu!C6</f>
        <v>hộp</v>
      </c>
      <c r="D249" s="86">
        <f>Gia_VLieu!D6</f>
        <v>250000</v>
      </c>
      <c r="E249" s="42">
        <v>0.02</v>
      </c>
      <c r="F249" s="21">
        <f t="shared" si="17"/>
        <v>5000</v>
      </c>
      <c r="H249" s="12">
        <v>245</v>
      </c>
    </row>
    <row r="250" spans="1:8" s="5" customFormat="1">
      <c r="A250" s="15">
        <v>4</v>
      </c>
      <c r="B250" s="7" t="s">
        <v>80</v>
      </c>
      <c r="C250" s="8" t="str">
        <f>Gia_VLieu!C7</f>
        <v>quyển</v>
      </c>
      <c r="D250" s="86">
        <f>Gia_VLieu!D7</f>
        <v>10000</v>
      </c>
      <c r="E250" s="42">
        <v>5</v>
      </c>
      <c r="F250" s="21">
        <f t="shared" si="17"/>
        <v>50000</v>
      </c>
      <c r="H250" s="12">
        <v>246</v>
      </c>
    </row>
    <row r="251" spans="1:8" s="5" customFormat="1">
      <c r="A251" s="15">
        <v>5</v>
      </c>
      <c r="B251" s="7" t="s">
        <v>21</v>
      </c>
      <c r="C251" s="8" t="str">
        <f>Gia_VLieu!C8</f>
        <v>cái</v>
      </c>
      <c r="D251" s="86">
        <f>Gia_VLieu!D8</f>
        <v>2000</v>
      </c>
      <c r="E251" s="42">
        <v>6</v>
      </c>
      <c r="F251" s="21">
        <f t="shared" si="17"/>
        <v>12000</v>
      </c>
      <c r="H251" s="12">
        <v>247</v>
      </c>
    </row>
    <row r="252" spans="1:8" s="5" customFormat="1">
      <c r="A252" s="15">
        <v>6</v>
      </c>
      <c r="B252" s="7" t="s">
        <v>82</v>
      </c>
      <c r="C252" s="8" t="str">
        <f>Gia_VLieu!C9</f>
        <v>cái</v>
      </c>
      <c r="D252" s="86">
        <f>Gia_VLieu!D9</f>
        <v>8000</v>
      </c>
      <c r="E252" s="42">
        <v>12</v>
      </c>
      <c r="F252" s="21">
        <f t="shared" si="17"/>
        <v>96000</v>
      </c>
      <c r="H252" s="12">
        <v>248</v>
      </c>
    </row>
    <row r="253" spans="1:8" s="5" customFormat="1">
      <c r="A253" s="15">
        <v>7</v>
      </c>
      <c r="B253" s="7" t="s">
        <v>83</v>
      </c>
      <c r="C253" s="8" t="str">
        <f>Gia_VLieu!C10</f>
        <v>cái</v>
      </c>
      <c r="D253" s="86">
        <f>Gia_VLieu!D10</f>
        <v>10000</v>
      </c>
      <c r="E253" s="42">
        <v>14</v>
      </c>
      <c r="F253" s="21">
        <f t="shared" si="17"/>
        <v>140000</v>
      </c>
      <c r="H253" s="12">
        <v>249</v>
      </c>
    </row>
    <row r="254" spans="1:8" s="5" customFormat="1">
      <c r="A254" s="15">
        <v>8</v>
      </c>
      <c r="B254" s="7" t="s">
        <v>84</v>
      </c>
      <c r="C254" s="8" t="str">
        <f>Gia_VLieu!C11</f>
        <v>hộp</v>
      </c>
      <c r="D254" s="86">
        <f>Gia_VLieu!D11</f>
        <v>2500</v>
      </c>
      <c r="E254" s="42">
        <v>4</v>
      </c>
      <c r="F254" s="21">
        <f t="shared" si="17"/>
        <v>10000</v>
      </c>
      <c r="H254" s="12">
        <v>250</v>
      </c>
    </row>
    <row r="255" spans="1:8" s="5" customFormat="1">
      <c r="A255" s="15">
        <v>9</v>
      </c>
      <c r="B255" s="7" t="s">
        <v>85</v>
      </c>
      <c r="C255" s="8" t="str">
        <f>Gia_VLieu!C12</f>
        <v>hộp</v>
      </c>
      <c r="D255" s="86">
        <f>Gia_VLieu!D12</f>
        <v>2000</v>
      </c>
      <c r="E255" s="42">
        <v>2</v>
      </c>
      <c r="F255" s="21">
        <f t="shared" si="17"/>
        <v>4000</v>
      </c>
      <c r="H255" s="12">
        <v>251</v>
      </c>
    </row>
    <row r="256" spans="1:8" s="5" customFormat="1">
      <c r="A256" s="15">
        <v>10</v>
      </c>
      <c r="B256" s="7" t="s">
        <v>86</v>
      </c>
      <c r="C256" s="8" t="str">
        <f>Gia_VLieu!C13</f>
        <v>tập</v>
      </c>
      <c r="D256" s="86">
        <f>Gia_VLieu!D13</f>
        <v>8000</v>
      </c>
      <c r="E256" s="42">
        <v>3</v>
      </c>
      <c r="F256" s="21">
        <f t="shared" si="17"/>
        <v>24000</v>
      </c>
      <c r="H256" s="12">
        <v>252</v>
      </c>
    </row>
    <row r="257" spans="1:8" s="5" customFormat="1">
      <c r="A257" s="57">
        <v>11</v>
      </c>
      <c r="B257" s="58" t="s">
        <v>87</v>
      </c>
      <c r="C257" s="59" t="str">
        <f>Gia_VLieu!C14</f>
        <v>cái</v>
      </c>
      <c r="D257" s="87">
        <f>Gia_VLieu!D14</f>
        <v>15000</v>
      </c>
      <c r="E257" s="68">
        <v>8</v>
      </c>
      <c r="F257" s="55">
        <f t="shared" si="17"/>
        <v>120000</v>
      </c>
      <c r="H257" s="12">
        <v>253</v>
      </c>
    </row>
    <row r="258" spans="1:8" s="5" customFormat="1">
      <c r="A258" s="15" t="e">
        <f>#REF!</f>
        <v>#REF!</v>
      </c>
      <c r="B258" s="7" t="e">
        <f>#REF!</f>
        <v>#REF!</v>
      </c>
      <c r="C258" s="8"/>
      <c r="D258" s="86"/>
      <c r="E258" s="43"/>
      <c r="F258" s="21"/>
      <c r="H258" s="12">
        <v>254</v>
      </c>
    </row>
    <row r="259" spans="1:8" s="5" customFormat="1">
      <c r="A259" s="15" t="e">
        <f>#REF!</f>
        <v>#REF!</v>
      </c>
      <c r="B259" s="7" t="e">
        <f>#REF!</f>
        <v>#REF!</v>
      </c>
      <c r="C259" s="8"/>
      <c r="D259" s="86"/>
      <c r="E259" s="43"/>
      <c r="F259" s="21"/>
      <c r="H259" s="12">
        <v>255</v>
      </c>
    </row>
    <row r="260" spans="1:8" s="11" customFormat="1">
      <c r="A260" s="29" t="e">
        <f>#REF!</f>
        <v>#REF!</v>
      </c>
      <c r="B260" s="135" t="e">
        <f>#REF!</f>
        <v>#REF!</v>
      </c>
      <c r="C260" s="136"/>
      <c r="D260" s="136"/>
      <c r="E260" s="136"/>
      <c r="F260" s="137"/>
      <c r="H260" s="12">
        <v>256</v>
      </c>
    </row>
    <row r="261" spans="1:8" s="46" customFormat="1">
      <c r="A261" s="44" t="e">
        <f>#REF!</f>
        <v>#REF!</v>
      </c>
      <c r="B261" s="45" t="e">
        <f>#REF!</f>
        <v>#REF!</v>
      </c>
      <c r="C261" s="20"/>
      <c r="D261" s="151">
        <f>Gia_VLieu!D$16</f>
        <v>1</v>
      </c>
      <c r="E261" s="63"/>
      <c r="F261" s="23">
        <f>SUM(F262:F272)*D261</f>
        <v>1379000</v>
      </c>
      <c r="H261" s="12">
        <v>257</v>
      </c>
    </row>
    <row r="262" spans="1:8" s="5" customFormat="1">
      <c r="A262" s="15">
        <v>1</v>
      </c>
      <c r="B262" s="7" t="s">
        <v>77</v>
      </c>
      <c r="C262" s="8" t="str">
        <f>Gia_VLieu!C4</f>
        <v>gram</v>
      </c>
      <c r="D262" s="86">
        <f>Gia_VLieu!D4</f>
        <v>45000</v>
      </c>
      <c r="E262" s="42">
        <v>4</v>
      </c>
      <c r="F262" s="21">
        <f t="shared" ref="F262:F272" si="18">D262*E262</f>
        <v>180000</v>
      </c>
      <c r="H262" s="12">
        <v>258</v>
      </c>
    </row>
    <row r="263" spans="1:8" s="5" customFormat="1">
      <c r="A263" s="15">
        <v>2</v>
      </c>
      <c r="B263" s="7" t="s">
        <v>78</v>
      </c>
      <c r="C263" s="8" t="str">
        <f>Gia_VLieu!C5</f>
        <v>hộp</v>
      </c>
      <c r="D263" s="86">
        <f>Gia_VLieu!D5</f>
        <v>1450000</v>
      </c>
      <c r="E263" s="42">
        <v>0.3</v>
      </c>
      <c r="F263" s="21">
        <f t="shared" si="18"/>
        <v>435000</v>
      </c>
      <c r="H263" s="12">
        <v>259</v>
      </c>
    </row>
    <row r="264" spans="1:8" s="5" customFormat="1">
      <c r="A264" s="15">
        <v>3</v>
      </c>
      <c r="B264" s="7" t="s">
        <v>79</v>
      </c>
      <c r="C264" s="8" t="str">
        <f>Gia_VLieu!C6</f>
        <v>hộp</v>
      </c>
      <c r="D264" s="86">
        <f>Gia_VLieu!D6</f>
        <v>250000</v>
      </c>
      <c r="E264" s="42">
        <v>0.2</v>
      </c>
      <c r="F264" s="21">
        <f t="shared" si="18"/>
        <v>50000</v>
      </c>
      <c r="H264" s="12">
        <v>260</v>
      </c>
    </row>
    <row r="265" spans="1:8" s="5" customFormat="1">
      <c r="A265" s="15">
        <v>4</v>
      </c>
      <c r="B265" s="7" t="s">
        <v>80</v>
      </c>
      <c r="C265" s="8" t="str">
        <f>Gia_VLieu!C7</f>
        <v>quyển</v>
      </c>
      <c r="D265" s="86">
        <f>Gia_VLieu!D7</f>
        <v>10000</v>
      </c>
      <c r="E265" s="42">
        <v>12</v>
      </c>
      <c r="F265" s="21">
        <f t="shared" si="18"/>
        <v>120000</v>
      </c>
      <c r="H265" s="12">
        <v>261</v>
      </c>
    </row>
    <row r="266" spans="1:8" s="5" customFormat="1">
      <c r="A266" s="15">
        <v>5</v>
      </c>
      <c r="B266" s="7" t="s">
        <v>21</v>
      </c>
      <c r="C266" s="8" t="str">
        <f>Gia_VLieu!C8</f>
        <v>cái</v>
      </c>
      <c r="D266" s="86">
        <f>Gia_VLieu!D8</f>
        <v>2000</v>
      </c>
      <c r="E266" s="42">
        <v>25</v>
      </c>
      <c r="F266" s="21">
        <f t="shared" si="18"/>
        <v>50000</v>
      </c>
      <c r="H266" s="12">
        <v>262</v>
      </c>
    </row>
    <row r="267" spans="1:8" s="5" customFormat="1">
      <c r="A267" s="15">
        <v>6</v>
      </c>
      <c r="B267" s="7" t="s">
        <v>82</v>
      </c>
      <c r="C267" s="8" t="str">
        <f>Gia_VLieu!C9</f>
        <v>cái</v>
      </c>
      <c r="D267" s="86">
        <f>Gia_VLieu!D9</f>
        <v>8000</v>
      </c>
      <c r="E267" s="42">
        <v>20</v>
      </c>
      <c r="F267" s="21">
        <f t="shared" si="18"/>
        <v>160000</v>
      </c>
      <c r="H267" s="12">
        <v>263</v>
      </c>
    </row>
    <row r="268" spans="1:8" s="5" customFormat="1">
      <c r="A268" s="15">
        <v>7</v>
      </c>
      <c r="B268" s="7" t="s">
        <v>83</v>
      </c>
      <c r="C268" s="8" t="str">
        <f>Gia_VLieu!C10</f>
        <v>cái</v>
      </c>
      <c r="D268" s="86">
        <f>Gia_VLieu!D10</f>
        <v>10000</v>
      </c>
      <c r="E268" s="42">
        <v>20</v>
      </c>
      <c r="F268" s="21">
        <f t="shared" si="18"/>
        <v>200000</v>
      </c>
      <c r="H268" s="12">
        <v>264</v>
      </c>
    </row>
    <row r="269" spans="1:8" s="5" customFormat="1">
      <c r="A269" s="15">
        <v>8</v>
      </c>
      <c r="B269" s="7" t="s">
        <v>84</v>
      </c>
      <c r="C269" s="8" t="str">
        <f>Gia_VLieu!C11</f>
        <v>hộp</v>
      </c>
      <c r="D269" s="86">
        <f>Gia_VLieu!D11</f>
        <v>2500</v>
      </c>
      <c r="E269" s="42">
        <v>8</v>
      </c>
      <c r="F269" s="21">
        <f t="shared" si="18"/>
        <v>20000</v>
      </c>
      <c r="H269" s="12">
        <v>265</v>
      </c>
    </row>
    <row r="270" spans="1:8" s="5" customFormat="1">
      <c r="A270" s="15">
        <v>9</v>
      </c>
      <c r="B270" s="7" t="s">
        <v>85</v>
      </c>
      <c r="C270" s="8" t="str">
        <f>Gia_VLieu!C12</f>
        <v>hộp</v>
      </c>
      <c r="D270" s="86">
        <f>Gia_VLieu!D12</f>
        <v>2000</v>
      </c>
      <c r="E270" s="42">
        <v>2</v>
      </c>
      <c r="F270" s="21">
        <f t="shared" si="18"/>
        <v>4000</v>
      </c>
      <c r="H270" s="12">
        <v>266</v>
      </c>
    </row>
    <row r="271" spans="1:8" s="5" customFormat="1">
      <c r="A271" s="15">
        <v>10</v>
      </c>
      <c r="B271" s="7" t="s">
        <v>86</v>
      </c>
      <c r="C271" s="8" t="str">
        <f>Gia_VLieu!C13</f>
        <v>tập</v>
      </c>
      <c r="D271" s="86">
        <f>Gia_VLieu!D13</f>
        <v>8000</v>
      </c>
      <c r="E271" s="42">
        <v>5</v>
      </c>
      <c r="F271" s="21">
        <f t="shared" si="18"/>
        <v>40000</v>
      </c>
      <c r="H271" s="12">
        <v>267</v>
      </c>
    </row>
    <row r="272" spans="1:8" s="5" customFormat="1">
      <c r="A272" s="57">
        <v>11</v>
      </c>
      <c r="B272" s="58" t="s">
        <v>87</v>
      </c>
      <c r="C272" s="59" t="str">
        <f>Gia_VLieu!C14</f>
        <v>cái</v>
      </c>
      <c r="D272" s="87">
        <f>Gia_VLieu!D14</f>
        <v>15000</v>
      </c>
      <c r="E272" s="68">
        <v>8</v>
      </c>
      <c r="F272" s="55">
        <f t="shared" si="18"/>
        <v>120000</v>
      </c>
      <c r="H272" s="12">
        <v>268</v>
      </c>
    </row>
    <row r="273" spans="1:8" s="46" customFormat="1">
      <c r="A273" s="2028" t="e">
        <f>#REF!</f>
        <v>#REF!</v>
      </c>
      <c r="B273" s="138" t="e">
        <f>#REF!</f>
        <v>#REF!</v>
      </c>
      <c r="C273" s="20"/>
      <c r="D273" s="131"/>
      <c r="E273" s="63">
        <v>0.8</v>
      </c>
      <c r="F273" s="23">
        <f>E273*F274</f>
        <v>1215200</v>
      </c>
      <c r="H273" s="12">
        <v>269</v>
      </c>
    </row>
    <row r="274" spans="1:8" s="46" customFormat="1">
      <c r="A274" s="2029"/>
      <c r="B274" s="71"/>
      <c r="C274" s="20"/>
      <c r="D274" s="151">
        <f>Gia_VLieu!D$16</f>
        <v>1</v>
      </c>
      <c r="E274" s="63">
        <v>1</v>
      </c>
      <c r="F274" s="23">
        <f>SUM(F276:F286)*D274</f>
        <v>1519000</v>
      </c>
      <c r="H274" s="12">
        <v>270</v>
      </c>
    </row>
    <row r="275" spans="1:8" s="46" customFormat="1">
      <c r="A275" s="2030"/>
      <c r="B275" s="134"/>
      <c r="C275" s="20"/>
      <c r="D275" s="131"/>
      <c r="E275" s="63">
        <v>1.2</v>
      </c>
      <c r="F275" s="23">
        <f>E275*F274</f>
        <v>1822800</v>
      </c>
      <c r="H275" s="12">
        <v>271</v>
      </c>
    </row>
    <row r="276" spans="1:8" s="5" customFormat="1">
      <c r="A276" s="15">
        <v>1</v>
      </c>
      <c r="B276" s="7" t="s">
        <v>77</v>
      </c>
      <c r="C276" s="8" t="str">
        <f>Gia_VLieu!C4</f>
        <v>gram</v>
      </c>
      <c r="D276" s="86">
        <f>Gia_VLieu!D4</f>
        <v>45000</v>
      </c>
      <c r="E276" s="42">
        <v>5</v>
      </c>
      <c r="F276" s="21">
        <f t="shared" ref="F276:F286" si="19">D276*E276</f>
        <v>225000</v>
      </c>
      <c r="H276" s="12">
        <v>272</v>
      </c>
    </row>
    <row r="277" spans="1:8" s="5" customFormat="1">
      <c r="A277" s="15">
        <v>2</v>
      </c>
      <c r="B277" s="7" t="s">
        <v>78</v>
      </c>
      <c r="C277" s="8" t="str">
        <f>Gia_VLieu!C5</f>
        <v>hộp</v>
      </c>
      <c r="D277" s="86">
        <f>Gia_VLieu!D5</f>
        <v>1450000</v>
      </c>
      <c r="E277" s="42">
        <v>0.2</v>
      </c>
      <c r="F277" s="21">
        <f t="shared" si="19"/>
        <v>290000</v>
      </c>
      <c r="H277" s="12">
        <v>273</v>
      </c>
    </row>
    <row r="278" spans="1:8" s="5" customFormat="1">
      <c r="A278" s="15">
        <v>3</v>
      </c>
      <c r="B278" s="7" t="s">
        <v>79</v>
      </c>
      <c r="C278" s="8" t="str">
        <f>Gia_VLieu!C6</f>
        <v>hộp</v>
      </c>
      <c r="D278" s="86">
        <f>Gia_VLieu!D6</f>
        <v>250000</v>
      </c>
      <c r="E278" s="42">
        <v>0.3</v>
      </c>
      <c r="F278" s="21">
        <f t="shared" si="19"/>
        <v>75000</v>
      </c>
      <c r="H278" s="12">
        <v>274</v>
      </c>
    </row>
    <row r="279" spans="1:8" s="5" customFormat="1">
      <c r="A279" s="15">
        <v>4</v>
      </c>
      <c r="B279" s="7" t="s">
        <v>80</v>
      </c>
      <c r="C279" s="8" t="str">
        <f>Gia_VLieu!C7</f>
        <v>quyển</v>
      </c>
      <c r="D279" s="86">
        <f>Gia_VLieu!D7</f>
        <v>10000</v>
      </c>
      <c r="E279" s="42">
        <v>8</v>
      </c>
      <c r="F279" s="21">
        <f t="shared" si="19"/>
        <v>80000</v>
      </c>
      <c r="H279" s="12">
        <v>275</v>
      </c>
    </row>
    <row r="280" spans="1:8" s="5" customFormat="1">
      <c r="A280" s="15">
        <v>5</v>
      </c>
      <c r="B280" s="7" t="s">
        <v>21</v>
      </c>
      <c r="C280" s="8" t="str">
        <f>Gia_VLieu!C8</f>
        <v>cái</v>
      </c>
      <c r="D280" s="86">
        <f>Gia_VLieu!D8</f>
        <v>2000</v>
      </c>
      <c r="E280" s="42">
        <v>20</v>
      </c>
      <c r="F280" s="21">
        <f t="shared" si="19"/>
        <v>40000</v>
      </c>
      <c r="H280" s="12">
        <v>276</v>
      </c>
    </row>
    <row r="281" spans="1:8" s="5" customFormat="1">
      <c r="A281" s="15">
        <v>6</v>
      </c>
      <c r="B281" s="7" t="s">
        <v>82</v>
      </c>
      <c r="C281" s="8" t="str">
        <f>Gia_VLieu!C9</f>
        <v>cái</v>
      </c>
      <c r="D281" s="86">
        <f>Gia_VLieu!D9</f>
        <v>8000</v>
      </c>
      <c r="E281" s="42">
        <v>25</v>
      </c>
      <c r="F281" s="21">
        <f t="shared" si="19"/>
        <v>200000</v>
      </c>
      <c r="H281" s="12">
        <v>277</v>
      </c>
    </row>
    <row r="282" spans="1:8" s="5" customFormat="1">
      <c r="A282" s="15">
        <v>7</v>
      </c>
      <c r="B282" s="7" t="s">
        <v>83</v>
      </c>
      <c r="C282" s="8" t="str">
        <f>Gia_VLieu!C10</f>
        <v>cái</v>
      </c>
      <c r="D282" s="86">
        <f>Gia_VLieu!D10</f>
        <v>10000</v>
      </c>
      <c r="E282" s="42">
        <v>25</v>
      </c>
      <c r="F282" s="21">
        <f t="shared" si="19"/>
        <v>250000</v>
      </c>
      <c r="H282" s="12">
        <v>278</v>
      </c>
    </row>
    <row r="283" spans="1:8" s="5" customFormat="1">
      <c r="A283" s="15">
        <v>8</v>
      </c>
      <c r="B283" s="7" t="s">
        <v>84</v>
      </c>
      <c r="C283" s="8" t="str">
        <f>Gia_VLieu!C11</f>
        <v>hộp</v>
      </c>
      <c r="D283" s="86">
        <f>Gia_VLieu!D11</f>
        <v>2500</v>
      </c>
      <c r="E283" s="42">
        <v>6</v>
      </c>
      <c r="F283" s="21">
        <f t="shared" si="19"/>
        <v>15000</v>
      </c>
      <c r="H283" s="12">
        <v>279</v>
      </c>
    </row>
    <row r="284" spans="1:8" s="5" customFormat="1">
      <c r="A284" s="15">
        <v>9</v>
      </c>
      <c r="B284" s="7" t="s">
        <v>85</v>
      </c>
      <c r="C284" s="8" t="str">
        <f>Gia_VLieu!C12</f>
        <v>hộp</v>
      </c>
      <c r="D284" s="86">
        <f>Gia_VLieu!D12</f>
        <v>2000</v>
      </c>
      <c r="E284" s="42">
        <v>6</v>
      </c>
      <c r="F284" s="21">
        <f t="shared" si="19"/>
        <v>12000</v>
      </c>
      <c r="H284" s="12">
        <v>280</v>
      </c>
    </row>
    <row r="285" spans="1:8" s="5" customFormat="1">
      <c r="A285" s="15">
        <v>10</v>
      </c>
      <c r="B285" s="7" t="s">
        <v>86</v>
      </c>
      <c r="C285" s="8" t="str">
        <f>Gia_VLieu!C13</f>
        <v>tập</v>
      </c>
      <c r="D285" s="86">
        <f>Gia_VLieu!D13</f>
        <v>8000</v>
      </c>
      <c r="E285" s="42">
        <v>4</v>
      </c>
      <c r="F285" s="21">
        <f t="shared" si="19"/>
        <v>32000</v>
      </c>
      <c r="H285" s="12">
        <v>281</v>
      </c>
    </row>
    <row r="286" spans="1:8" s="5" customFormat="1">
      <c r="A286" s="57">
        <v>11</v>
      </c>
      <c r="B286" s="58" t="s">
        <v>87</v>
      </c>
      <c r="C286" s="59" t="str">
        <f>Gia_VLieu!C14</f>
        <v>cái</v>
      </c>
      <c r="D286" s="87">
        <f>Gia_VLieu!D14</f>
        <v>15000</v>
      </c>
      <c r="E286" s="68">
        <v>20</v>
      </c>
      <c r="F286" s="55">
        <f t="shared" si="19"/>
        <v>300000</v>
      </c>
      <c r="H286" s="12">
        <v>282</v>
      </c>
    </row>
    <row r="287" spans="1:8" s="46" customFormat="1">
      <c r="A287" s="44" t="e">
        <f>#REF!</f>
        <v>#REF!</v>
      </c>
      <c r="B287" s="45" t="e">
        <f>#REF!</f>
        <v>#REF!</v>
      </c>
      <c r="C287" s="20"/>
      <c r="D287" s="90"/>
      <c r="E287" s="63"/>
      <c r="F287" s="23"/>
      <c r="H287" s="12">
        <v>283</v>
      </c>
    </row>
    <row r="288" spans="1:8" s="46" customFormat="1">
      <c r="A288" s="2028" t="e">
        <f>#REF!</f>
        <v>#REF!</v>
      </c>
      <c r="B288" s="138" t="e">
        <f>#REF!</f>
        <v>#REF!</v>
      </c>
      <c r="C288" s="20"/>
      <c r="D288" s="131"/>
      <c r="E288" s="63">
        <v>0.8</v>
      </c>
      <c r="F288" s="23">
        <f>E288*F289</f>
        <v>927600</v>
      </c>
      <c r="H288" s="12">
        <v>284</v>
      </c>
    </row>
    <row r="289" spans="1:8" s="46" customFormat="1">
      <c r="A289" s="2029" t="e">
        <f>#REF!</f>
        <v>#REF!</v>
      </c>
      <c r="B289" s="71" t="e">
        <f>#REF!</f>
        <v>#REF!</v>
      </c>
      <c r="C289" s="20"/>
      <c r="D289" s="151">
        <f>Gia_VLieu!D$16</f>
        <v>1</v>
      </c>
      <c r="E289" s="63">
        <v>1</v>
      </c>
      <c r="F289" s="23">
        <f>SUM(F291:F301)*D289</f>
        <v>1159500</v>
      </c>
      <c r="H289" s="12">
        <v>285</v>
      </c>
    </row>
    <row r="290" spans="1:8" s="46" customFormat="1">
      <c r="A290" s="2030" t="e">
        <f>#REF!</f>
        <v>#REF!</v>
      </c>
      <c r="B290" s="134" t="e">
        <f>#REF!</f>
        <v>#REF!</v>
      </c>
      <c r="C290" s="20"/>
      <c r="D290" s="131"/>
      <c r="E290" s="63">
        <v>1.2</v>
      </c>
      <c r="F290" s="23">
        <f>E290*F289</f>
        <v>1391400</v>
      </c>
      <c r="H290" s="12">
        <v>286</v>
      </c>
    </row>
    <row r="291" spans="1:8" s="5" customFormat="1">
      <c r="A291" s="15">
        <v>1</v>
      </c>
      <c r="B291" s="7" t="s">
        <v>77</v>
      </c>
      <c r="C291" s="8" t="str">
        <f>Gia_VLieu!C4</f>
        <v>gram</v>
      </c>
      <c r="D291" s="86">
        <f>Gia_VLieu!D4</f>
        <v>45000</v>
      </c>
      <c r="E291" s="42">
        <v>2</v>
      </c>
      <c r="F291" s="21">
        <f t="shared" ref="F291:F301" si="20">D291*E291</f>
        <v>90000</v>
      </c>
      <c r="H291" s="12">
        <v>287</v>
      </c>
    </row>
    <row r="292" spans="1:8" s="5" customFormat="1">
      <c r="A292" s="15">
        <v>2</v>
      </c>
      <c r="B292" s="7" t="s">
        <v>78</v>
      </c>
      <c r="C292" s="8" t="str">
        <f>Gia_VLieu!C5</f>
        <v>hộp</v>
      </c>
      <c r="D292" s="86">
        <f>Gia_VLieu!D5</f>
        <v>1450000</v>
      </c>
      <c r="E292" s="42">
        <v>0.1</v>
      </c>
      <c r="F292" s="21">
        <f t="shared" si="20"/>
        <v>145000</v>
      </c>
      <c r="H292" s="12">
        <v>288</v>
      </c>
    </row>
    <row r="293" spans="1:8" s="5" customFormat="1">
      <c r="A293" s="15">
        <v>3</v>
      </c>
      <c r="B293" s="7" t="s">
        <v>79</v>
      </c>
      <c r="C293" s="8" t="str">
        <f>Gia_VLieu!C6</f>
        <v>hộp</v>
      </c>
      <c r="D293" s="86">
        <f>Gia_VLieu!D6</f>
        <v>250000</v>
      </c>
      <c r="E293" s="42">
        <v>0.2</v>
      </c>
      <c r="F293" s="21">
        <f t="shared" si="20"/>
        <v>50000</v>
      </c>
      <c r="H293" s="12">
        <v>289</v>
      </c>
    </row>
    <row r="294" spans="1:8" s="5" customFormat="1">
      <c r="A294" s="15">
        <v>4</v>
      </c>
      <c r="B294" s="7" t="s">
        <v>80</v>
      </c>
      <c r="C294" s="8" t="str">
        <f>Gia_VLieu!C7</f>
        <v>quyển</v>
      </c>
      <c r="D294" s="86">
        <f>Gia_VLieu!D7</f>
        <v>10000</v>
      </c>
      <c r="E294" s="42">
        <v>6</v>
      </c>
      <c r="F294" s="21">
        <f t="shared" si="20"/>
        <v>60000</v>
      </c>
      <c r="H294" s="12">
        <v>290</v>
      </c>
    </row>
    <row r="295" spans="1:8" s="5" customFormat="1">
      <c r="A295" s="15">
        <v>5</v>
      </c>
      <c r="B295" s="7" t="s">
        <v>21</v>
      </c>
      <c r="C295" s="8" t="str">
        <f>Gia_VLieu!C8</f>
        <v>cái</v>
      </c>
      <c r="D295" s="86">
        <f>Gia_VLieu!D8</f>
        <v>2000</v>
      </c>
      <c r="E295" s="42">
        <v>15</v>
      </c>
      <c r="F295" s="21">
        <f t="shared" si="20"/>
        <v>30000</v>
      </c>
      <c r="H295" s="12">
        <v>291</v>
      </c>
    </row>
    <row r="296" spans="1:8" s="5" customFormat="1">
      <c r="A296" s="15">
        <v>6</v>
      </c>
      <c r="B296" s="7" t="s">
        <v>82</v>
      </c>
      <c r="C296" s="8" t="str">
        <f>Gia_VLieu!C9</f>
        <v>cái</v>
      </c>
      <c r="D296" s="86">
        <f>Gia_VLieu!D9</f>
        <v>8000</v>
      </c>
      <c r="E296" s="42">
        <v>24</v>
      </c>
      <c r="F296" s="21">
        <f t="shared" si="20"/>
        <v>192000</v>
      </c>
      <c r="H296" s="12">
        <v>292</v>
      </c>
    </row>
    <row r="297" spans="1:8" s="5" customFormat="1">
      <c r="A297" s="15">
        <v>7</v>
      </c>
      <c r="B297" s="7" t="s">
        <v>83</v>
      </c>
      <c r="C297" s="8" t="str">
        <f>Gia_VLieu!C10</f>
        <v>cái</v>
      </c>
      <c r="D297" s="86">
        <f>Gia_VLieu!D10</f>
        <v>10000</v>
      </c>
      <c r="E297" s="42">
        <v>24</v>
      </c>
      <c r="F297" s="21">
        <f t="shared" si="20"/>
        <v>240000</v>
      </c>
      <c r="H297" s="12">
        <v>293</v>
      </c>
    </row>
    <row r="298" spans="1:8" s="5" customFormat="1">
      <c r="A298" s="15">
        <v>8</v>
      </c>
      <c r="B298" s="7" t="s">
        <v>84</v>
      </c>
      <c r="C298" s="8" t="str">
        <f>Gia_VLieu!C11</f>
        <v>hộp</v>
      </c>
      <c r="D298" s="86">
        <f>Gia_VLieu!D11</f>
        <v>2500</v>
      </c>
      <c r="E298" s="42">
        <v>5</v>
      </c>
      <c r="F298" s="21">
        <f t="shared" si="20"/>
        <v>12500</v>
      </c>
      <c r="H298" s="12">
        <v>294</v>
      </c>
    </row>
    <row r="299" spans="1:8" s="5" customFormat="1">
      <c r="A299" s="15">
        <v>9</v>
      </c>
      <c r="B299" s="7" t="s">
        <v>85</v>
      </c>
      <c r="C299" s="8" t="str">
        <f>Gia_VLieu!C12</f>
        <v>hộp</v>
      </c>
      <c r="D299" s="86">
        <f>Gia_VLieu!D12</f>
        <v>2000</v>
      </c>
      <c r="E299" s="42">
        <v>4</v>
      </c>
      <c r="F299" s="21">
        <f t="shared" si="20"/>
        <v>8000</v>
      </c>
      <c r="H299" s="12">
        <v>295</v>
      </c>
    </row>
    <row r="300" spans="1:8" s="5" customFormat="1">
      <c r="A300" s="15">
        <v>10</v>
      </c>
      <c r="B300" s="7" t="s">
        <v>86</v>
      </c>
      <c r="C300" s="8" t="str">
        <f>Gia_VLieu!C13</f>
        <v>tập</v>
      </c>
      <c r="D300" s="86">
        <f>Gia_VLieu!D13</f>
        <v>8000</v>
      </c>
      <c r="E300" s="42">
        <v>4</v>
      </c>
      <c r="F300" s="21">
        <f t="shared" si="20"/>
        <v>32000</v>
      </c>
      <c r="H300" s="12">
        <v>296</v>
      </c>
    </row>
    <row r="301" spans="1:8" s="5" customFormat="1">
      <c r="A301" s="57">
        <v>11</v>
      </c>
      <c r="B301" s="58" t="s">
        <v>87</v>
      </c>
      <c r="C301" s="59" t="str">
        <f>Gia_VLieu!C14</f>
        <v>cái</v>
      </c>
      <c r="D301" s="87">
        <f>Gia_VLieu!D14</f>
        <v>15000</v>
      </c>
      <c r="E301" s="68">
        <v>20</v>
      </c>
      <c r="F301" s="55">
        <f t="shared" si="20"/>
        <v>300000</v>
      </c>
      <c r="H301" s="12">
        <v>297</v>
      </c>
    </row>
    <row r="302" spans="1:8" s="46" customFormat="1">
      <c r="A302" s="2028" t="e">
        <f>#REF!</f>
        <v>#REF!</v>
      </c>
      <c r="B302" s="138" t="e">
        <f>#REF!</f>
        <v>#REF!</v>
      </c>
      <c r="C302" s="20"/>
      <c r="D302" s="131"/>
      <c r="E302" s="63">
        <v>0.8</v>
      </c>
      <c r="F302" s="23">
        <f>E302*F303</f>
        <v>734000</v>
      </c>
      <c r="H302" s="12">
        <v>298</v>
      </c>
    </row>
    <row r="303" spans="1:8" s="46" customFormat="1">
      <c r="A303" s="2029" t="e">
        <f>#REF!</f>
        <v>#REF!</v>
      </c>
      <c r="B303" s="71" t="e">
        <f>#REF!</f>
        <v>#REF!</v>
      </c>
      <c r="C303" s="20"/>
      <c r="D303" s="151">
        <f>Gia_VLieu!D$16</f>
        <v>1</v>
      </c>
      <c r="E303" s="63">
        <v>1</v>
      </c>
      <c r="F303" s="23">
        <f>SUM(F305:F315)*D303</f>
        <v>917500</v>
      </c>
      <c r="H303" s="12">
        <v>299</v>
      </c>
    </row>
    <row r="304" spans="1:8" s="46" customFormat="1">
      <c r="A304" s="2030" t="e">
        <f>#REF!</f>
        <v>#REF!</v>
      </c>
      <c r="B304" s="134" t="e">
        <f>#REF!</f>
        <v>#REF!</v>
      </c>
      <c r="C304" s="20"/>
      <c r="D304" s="131"/>
      <c r="E304" s="63">
        <v>1.2</v>
      </c>
      <c r="F304" s="23">
        <f>E304*F303</f>
        <v>1101000</v>
      </c>
      <c r="H304" s="12">
        <v>300</v>
      </c>
    </row>
    <row r="305" spans="1:8" s="5" customFormat="1">
      <c r="A305" s="15">
        <v>1</v>
      </c>
      <c r="B305" s="7" t="s">
        <v>77</v>
      </c>
      <c r="C305" s="8" t="str">
        <f>Gia_VLieu!C4</f>
        <v>gram</v>
      </c>
      <c r="D305" s="86">
        <f>Gia_VLieu!D4</f>
        <v>45000</v>
      </c>
      <c r="E305" s="42">
        <v>2</v>
      </c>
      <c r="F305" s="21">
        <f t="shared" ref="F305:F315" si="21">D305*E305</f>
        <v>90000</v>
      </c>
      <c r="H305" s="12">
        <v>301</v>
      </c>
    </row>
    <row r="306" spans="1:8" s="5" customFormat="1">
      <c r="A306" s="15">
        <v>2</v>
      </c>
      <c r="B306" s="7" t="s">
        <v>78</v>
      </c>
      <c r="C306" s="8" t="str">
        <f>Gia_VLieu!C5</f>
        <v>hộp</v>
      </c>
      <c r="D306" s="86">
        <f>Gia_VLieu!D5</f>
        <v>1450000</v>
      </c>
      <c r="E306" s="42">
        <v>0.15</v>
      </c>
      <c r="F306" s="21">
        <f t="shared" si="21"/>
        <v>217500</v>
      </c>
      <c r="H306" s="12">
        <v>302</v>
      </c>
    </row>
    <row r="307" spans="1:8" s="5" customFormat="1">
      <c r="A307" s="15">
        <v>3</v>
      </c>
      <c r="B307" s="7" t="s">
        <v>79</v>
      </c>
      <c r="C307" s="8" t="str">
        <f>Gia_VLieu!C6</f>
        <v>hộp</v>
      </c>
      <c r="D307" s="86">
        <f>Gia_VLieu!D6</f>
        <v>250000</v>
      </c>
      <c r="E307" s="42">
        <v>0.1</v>
      </c>
      <c r="F307" s="21">
        <f t="shared" si="21"/>
        <v>25000</v>
      </c>
      <c r="H307" s="12">
        <v>303</v>
      </c>
    </row>
    <row r="308" spans="1:8" s="5" customFormat="1">
      <c r="A308" s="15">
        <v>4</v>
      </c>
      <c r="B308" s="7" t="s">
        <v>80</v>
      </c>
      <c r="C308" s="8" t="str">
        <f>Gia_VLieu!C7</f>
        <v>quyển</v>
      </c>
      <c r="D308" s="86">
        <f>Gia_VLieu!D7</f>
        <v>10000</v>
      </c>
      <c r="E308" s="42">
        <v>8</v>
      </c>
      <c r="F308" s="21">
        <f t="shared" si="21"/>
        <v>80000</v>
      </c>
      <c r="H308" s="12">
        <v>304</v>
      </c>
    </row>
    <row r="309" spans="1:8" s="5" customFormat="1">
      <c r="A309" s="15">
        <v>5</v>
      </c>
      <c r="B309" s="7" t="s">
        <v>21</v>
      </c>
      <c r="C309" s="8" t="str">
        <f>Gia_VLieu!C8</f>
        <v>cái</v>
      </c>
      <c r="D309" s="86">
        <f>Gia_VLieu!D8</f>
        <v>2000</v>
      </c>
      <c r="E309" s="42">
        <v>12</v>
      </c>
      <c r="F309" s="21">
        <f t="shared" si="21"/>
        <v>24000</v>
      </c>
      <c r="H309" s="12">
        <v>305</v>
      </c>
    </row>
    <row r="310" spans="1:8" s="5" customFormat="1">
      <c r="A310" s="15">
        <v>6</v>
      </c>
      <c r="B310" s="7" t="s">
        <v>82</v>
      </c>
      <c r="C310" s="8" t="str">
        <f>Gia_VLieu!C9</f>
        <v>cái</v>
      </c>
      <c r="D310" s="86">
        <f>Gia_VLieu!D9</f>
        <v>8000</v>
      </c>
      <c r="E310" s="42">
        <v>12</v>
      </c>
      <c r="F310" s="21">
        <f t="shared" si="21"/>
        <v>96000</v>
      </c>
      <c r="H310" s="12">
        <v>306</v>
      </c>
    </row>
    <row r="311" spans="1:8" s="5" customFormat="1">
      <c r="A311" s="15">
        <v>7</v>
      </c>
      <c r="B311" s="7" t="s">
        <v>83</v>
      </c>
      <c r="C311" s="8" t="str">
        <f>Gia_VLieu!C10</f>
        <v>cái</v>
      </c>
      <c r="D311" s="86">
        <f>Gia_VLieu!D10</f>
        <v>10000</v>
      </c>
      <c r="E311" s="42">
        <v>12</v>
      </c>
      <c r="F311" s="21">
        <f t="shared" si="21"/>
        <v>120000</v>
      </c>
      <c r="H311" s="12">
        <v>307</v>
      </c>
    </row>
    <row r="312" spans="1:8" s="5" customFormat="1">
      <c r="A312" s="15">
        <v>8</v>
      </c>
      <c r="B312" s="7" t="s">
        <v>84</v>
      </c>
      <c r="C312" s="8" t="str">
        <f>Gia_VLieu!C11</f>
        <v>hộp</v>
      </c>
      <c r="D312" s="86">
        <f>Gia_VLieu!D11</f>
        <v>2500</v>
      </c>
      <c r="E312" s="42">
        <v>4</v>
      </c>
      <c r="F312" s="21">
        <f t="shared" si="21"/>
        <v>10000</v>
      </c>
      <c r="H312" s="12">
        <v>308</v>
      </c>
    </row>
    <row r="313" spans="1:8" s="5" customFormat="1">
      <c r="A313" s="15">
        <v>9</v>
      </c>
      <c r="B313" s="7" t="s">
        <v>85</v>
      </c>
      <c r="C313" s="8" t="str">
        <f>Gia_VLieu!C12</f>
        <v>hộp</v>
      </c>
      <c r="D313" s="86">
        <f>Gia_VLieu!D12</f>
        <v>2000</v>
      </c>
      <c r="E313" s="42">
        <v>3</v>
      </c>
      <c r="F313" s="21">
        <f t="shared" si="21"/>
        <v>6000</v>
      </c>
      <c r="H313" s="12">
        <v>309</v>
      </c>
    </row>
    <row r="314" spans="1:8" s="5" customFormat="1">
      <c r="A314" s="15">
        <v>10</v>
      </c>
      <c r="B314" s="7" t="s">
        <v>86</v>
      </c>
      <c r="C314" s="8" t="str">
        <f>Gia_VLieu!C13</f>
        <v>tập</v>
      </c>
      <c r="D314" s="86">
        <f>Gia_VLieu!D13</f>
        <v>8000</v>
      </c>
      <c r="E314" s="42">
        <v>3</v>
      </c>
      <c r="F314" s="21">
        <f t="shared" si="21"/>
        <v>24000</v>
      </c>
      <c r="H314" s="12">
        <v>310</v>
      </c>
    </row>
    <row r="315" spans="1:8" s="5" customFormat="1">
      <c r="A315" s="57">
        <v>11</v>
      </c>
      <c r="B315" s="58" t="s">
        <v>87</v>
      </c>
      <c r="C315" s="59" t="str">
        <f>Gia_VLieu!C14</f>
        <v>cái</v>
      </c>
      <c r="D315" s="87">
        <f>Gia_VLieu!D14</f>
        <v>15000</v>
      </c>
      <c r="E315" s="68">
        <v>15</v>
      </c>
      <c r="F315" s="55">
        <f t="shared" si="21"/>
        <v>225000</v>
      </c>
      <c r="H315" s="12">
        <v>311</v>
      </c>
    </row>
    <row r="316" spans="1:8" s="16" customFormat="1">
      <c r="A316" s="14" t="e">
        <f>#REF!</f>
        <v>#REF!</v>
      </c>
      <c r="B316" s="10" t="e">
        <f>#REF!</f>
        <v>#REF!</v>
      </c>
      <c r="C316" s="9"/>
      <c r="D316" s="92"/>
      <c r="E316" s="66"/>
      <c r="F316" s="22"/>
      <c r="H316" s="12">
        <v>312</v>
      </c>
    </row>
    <row r="317" spans="1:8" s="46" customFormat="1">
      <c r="A317" s="44" t="e">
        <f>#REF!</f>
        <v>#REF!</v>
      </c>
      <c r="B317" s="45" t="e">
        <f>#REF!</f>
        <v>#REF!</v>
      </c>
      <c r="C317" s="20"/>
      <c r="D317" s="151">
        <f>Gia_VLieu!D$16</f>
        <v>1</v>
      </c>
      <c r="E317" s="63"/>
      <c r="F317" s="23">
        <f>SUM(F318:F328)*D317</f>
        <v>1096500</v>
      </c>
      <c r="H317" s="12">
        <v>313</v>
      </c>
    </row>
    <row r="318" spans="1:8" s="5" customFormat="1">
      <c r="A318" s="15">
        <v>1</v>
      </c>
      <c r="B318" s="7" t="s">
        <v>77</v>
      </c>
      <c r="C318" s="8" t="str">
        <f>Gia_VLieu!C4</f>
        <v>gram</v>
      </c>
      <c r="D318" s="86">
        <f>Gia_VLieu!D4</f>
        <v>45000</v>
      </c>
      <c r="E318" s="42">
        <v>3</v>
      </c>
      <c r="F318" s="21">
        <f t="shared" ref="F318:F328" si="22">D318*E318</f>
        <v>135000</v>
      </c>
      <c r="H318" s="12">
        <v>314</v>
      </c>
    </row>
    <row r="319" spans="1:8" s="5" customFormat="1">
      <c r="A319" s="15">
        <v>2</v>
      </c>
      <c r="B319" s="7" t="s">
        <v>78</v>
      </c>
      <c r="C319" s="8" t="str">
        <f>Gia_VLieu!C5</f>
        <v>hộp</v>
      </c>
      <c r="D319" s="86">
        <f>Gia_VLieu!D5</f>
        <v>1450000</v>
      </c>
      <c r="E319" s="42">
        <v>0.2</v>
      </c>
      <c r="F319" s="21">
        <f t="shared" si="22"/>
        <v>290000</v>
      </c>
      <c r="H319" s="12">
        <v>315</v>
      </c>
    </row>
    <row r="320" spans="1:8" s="5" customFormat="1">
      <c r="A320" s="15">
        <v>3</v>
      </c>
      <c r="B320" s="7" t="s">
        <v>79</v>
      </c>
      <c r="C320" s="8" t="str">
        <f>Gia_VLieu!C6</f>
        <v>hộp</v>
      </c>
      <c r="D320" s="86">
        <f>Gia_VLieu!D6</f>
        <v>250000</v>
      </c>
      <c r="E320" s="42">
        <v>0.15</v>
      </c>
      <c r="F320" s="21">
        <f t="shared" si="22"/>
        <v>37500</v>
      </c>
      <c r="H320" s="12">
        <v>316</v>
      </c>
    </row>
    <row r="321" spans="1:8" s="5" customFormat="1">
      <c r="A321" s="15">
        <v>4</v>
      </c>
      <c r="B321" s="7" t="s">
        <v>80</v>
      </c>
      <c r="C321" s="8" t="str">
        <f>Gia_VLieu!C7</f>
        <v>quyển</v>
      </c>
      <c r="D321" s="86">
        <f>Gia_VLieu!D7</f>
        <v>10000</v>
      </c>
      <c r="E321" s="42">
        <v>12</v>
      </c>
      <c r="F321" s="21">
        <f t="shared" si="22"/>
        <v>120000</v>
      </c>
      <c r="H321" s="12">
        <v>317</v>
      </c>
    </row>
    <row r="322" spans="1:8" s="5" customFormat="1">
      <c r="A322" s="15">
        <v>5</v>
      </c>
      <c r="B322" s="7" t="s">
        <v>21</v>
      </c>
      <c r="C322" s="8" t="str">
        <f>Gia_VLieu!C8</f>
        <v>cái</v>
      </c>
      <c r="D322" s="86">
        <f>Gia_VLieu!D8</f>
        <v>2000</v>
      </c>
      <c r="E322" s="42">
        <v>25</v>
      </c>
      <c r="F322" s="21">
        <f t="shared" si="22"/>
        <v>50000</v>
      </c>
      <c r="H322" s="12">
        <v>318</v>
      </c>
    </row>
    <row r="323" spans="1:8" s="5" customFormat="1">
      <c r="A323" s="15">
        <v>6</v>
      </c>
      <c r="B323" s="7" t="s">
        <v>82</v>
      </c>
      <c r="C323" s="8" t="str">
        <f>Gia_VLieu!C9</f>
        <v>cái</v>
      </c>
      <c r="D323" s="86">
        <f>Gia_VLieu!D9</f>
        <v>8000</v>
      </c>
      <c r="E323" s="42">
        <v>10</v>
      </c>
      <c r="F323" s="21">
        <f t="shared" si="22"/>
        <v>80000</v>
      </c>
      <c r="H323" s="12">
        <v>319</v>
      </c>
    </row>
    <row r="324" spans="1:8" s="5" customFormat="1">
      <c r="A324" s="15">
        <v>7</v>
      </c>
      <c r="B324" s="7" t="s">
        <v>83</v>
      </c>
      <c r="C324" s="8" t="str">
        <f>Gia_VLieu!C10</f>
        <v>cái</v>
      </c>
      <c r="D324" s="86">
        <f>Gia_VLieu!D10</f>
        <v>10000</v>
      </c>
      <c r="E324" s="42">
        <v>10</v>
      </c>
      <c r="F324" s="21">
        <f t="shared" si="22"/>
        <v>100000</v>
      </c>
      <c r="H324" s="12">
        <v>320</v>
      </c>
    </row>
    <row r="325" spans="1:8" s="5" customFormat="1">
      <c r="A325" s="15">
        <v>8</v>
      </c>
      <c r="B325" s="7" t="s">
        <v>84</v>
      </c>
      <c r="C325" s="8" t="str">
        <f>Gia_VLieu!C11</f>
        <v>hộp</v>
      </c>
      <c r="D325" s="86">
        <f>Gia_VLieu!D11</f>
        <v>2500</v>
      </c>
      <c r="E325" s="42">
        <v>12</v>
      </c>
      <c r="F325" s="21">
        <f t="shared" si="22"/>
        <v>30000</v>
      </c>
      <c r="H325" s="12">
        <v>321</v>
      </c>
    </row>
    <row r="326" spans="1:8" s="5" customFormat="1">
      <c r="A326" s="15">
        <v>9</v>
      </c>
      <c r="B326" s="7" t="s">
        <v>85</v>
      </c>
      <c r="C326" s="8" t="str">
        <f>Gia_VLieu!C12</f>
        <v>hộp</v>
      </c>
      <c r="D326" s="86">
        <f>Gia_VLieu!D12</f>
        <v>2000</v>
      </c>
      <c r="E326" s="42">
        <v>8</v>
      </c>
      <c r="F326" s="21">
        <f t="shared" si="22"/>
        <v>16000</v>
      </c>
      <c r="H326" s="12">
        <v>322</v>
      </c>
    </row>
    <row r="327" spans="1:8" s="5" customFormat="1">
      <c r="A327" s="15">
        <v>10</v>
      </c>
      <c r="B327" s="7" t="s">
        <v>86</v>
      </c>
      <c r="C327" s="8" t="str">
        <f>Gia_VLieu!C13</f>
        <v>tập</v>
      </c>
      <c r="D327" s="86">
        <f>Gia_VLieu!D13</f>
        <v>8000</v>
      </c>
      <c r="E327" s="42">
        <v>11</v>
      </c>
      <c r="F327" s="21">
        <f t="shared" si="22"/>
        <v>88000</v>
      </c>
      <c r="H327" s="12">
        <v>323</v>
      </c>
    </row>
    <row r="328" spans="1:8" s="5" customFormat="1">
      <c r="A328" s="57">
        <v>11</v>
      </c>
      <c r="B328" s="58" t="s">
        <v>87</v>
      </c>
      <c r="C328" s="59" t="str">
        <f>Gia_VLieu!C14</f>
        <v>cái</v>
      </c>
      <c r="D328" s="87">
        <f>Gia_VLieu!D14</f>
        <v>15000</v>
      </c>
      <c r="E328" s="68">
        <v>10</v>
      </c>
      <c r="F328" s="55">
        <f t="shared" si="22"/>
        <v>150000</v>
      </c>
      <c r="H328" s="12">
        <v>324</v>
      </c>
    </row>
    <row r="329" spans="1:8" s="46" customFormat="1">
      <c r="A329" s="44" t="e">
        <f>#REF!</f>
        <v>#REF!</v>
      </c>
      <c r="B329" s="45" t="e">
        <f>#REF!</f>
        <v>#REF!</v>
      </c>
      <c r="C329" s="20"/>
      <c r="D329" s="90"/>
      <c r="E329" s="63"/>
      <c r="F329" s="23"/>
      <c r="H329" s="12">
        <v>325</v>
      </c>
    </row>
    <row r="330" spans="1:8" s="5" customFormat="1">
      <c r="A330" s="15" t="e">
        <f>#REF!</f>
        <v>#REF!</v>
      </c>
      <c r="B330" s="7" t="e">
        <f>#REF!</f>
        <v>#REF!</v>
      </c>
      <c r="C330" s="8"/>
      <c r="D330" s="86"/>
      <c r="E330" s="43"/>
      <c r="F330" s="21"/>
      <c r="H330" s="12">
        <v>326</v>
      </c>
    </row>
    <row r="331" spans="1:8" s="5" customFormat="1">
      <c r="A331" s="15" t="e">
        <f>#REF!</f>
        <v>#REF!</v>
      </c>
      <c r="B331" s="7" t="e">
        <f>#REF!</f>
        <v>#REF!</v>
      </c>
      <c r="C331" s="8"/>
      <c r="D331" s="151">
        <f>Gia_VLieu!D$16</f>
        <v>1</v>
      </c>
      <c r="E331" s="63"/>
      <c r="F331" s="23">
        <f>SUM(F332:F342)*D331</f>
        <v>1214000</v>
      </c>
      <c r="H331" s="12">
        <v>327</v>
      </c>
    </row>
    <row r="332" spans="1:8" s="5" customFormat="1">
      <c r="A332" s="15">
        <v>1</v>
      </c>
      <c r="B332" s="7" t="s">
        <v>77</v>
      </c>
      <c r="C332" s="8" t="str">
        <f>Gia_VLieu!C4</f>
        <v>gram</v>
      </c>
      <c r="D332" s="86">
        <f>Gia_VLieu!D4</f>
        <v>45000</v>
      </c>
      <c r="E332" s="42">
        <v>4</v>
      </c>
      <c r="F332" s="21">
        <f t="shared" ref="F332:F342" si="23">D332*E332</f>
        <v>180000</v>
      </c>
      <c r="H332" s="12">
        <v>328</v>
      </c>
    </row>
    <row r="333" spans="1:8" s="5" customFormat="1">
      <c r="A333" s="15">
        <v>2</v>
      </c>
      <c r="B333" s="7" t="s">
        <v>78</v>
      </c>
      <c r="C333" s="8" t="str">
        <f>Gia_VLieu!C5</f>
        <v>hộp</v>
      </c>
      <c r="D333" s="86">
        <f>Gia_VLieu!D5</f>
        <v>1450000</v>
      </c>
      <c r="E333" s="42">
        <v>0.3</v>
      </c>
      <c r="F333" s="21">
        <f t="shared" si="23"/>
        <v>435000</v>
      </c>
      <c r="H333" s="12">
        <v>329</v>
      </c>
    </row>
    <row r="334" spans="1:8" s="5" customFormat="1">
      <c r="A334" s="15">
        <v>3</v>
      </c>
      <c r="B334" s="7" t="s">
        <v>79</v>
      </c>
      <c r="C334" s="8" t="str">
        <f>Gia_VLieu!C6</f>
        <v>hộp</v>
      </c>
      <c r="D334" s="86">
        <f>Gia_VLieu!D6</f>
        <v>250000</v>
      </c>
      <c r="E334" s="42">
        <v>0.2</v>
      </c>
      <c r="F334" s="21">
        <f t="shared" si="23"/>
        <v>50000</v>
      </c>
      <c r="H334" s="12">
        <v>330</v>
      </c>
    </row>
    <row r="335" spans="1:8" s="5" customFormat="1">
      <c r="A335" s="15">
        <v>4</v>
      </c>
      <c r="B335" s="7" t="s">
        <v>80</v>
      </c>
      <c r="C335" s="8" t="str">
        <f>Gia_VLieu!C7</f>
        <v>quyển</v>
      </c>
      <c r="D335" s="86">
        <f>Gia_VLieu!D7</f>
        <v>10000</v>
      </c>
      <c r="E335" s="42">
        <v>12</v>
      </c>
      <c r="F335" s="21">
        <f t="shared" si="23"/>
        <v>120000</v>
      </c>
      <c r="H335" s="12">
        <v>331</v>
      </c>
    </row>
    <row r="336" spans="1:8" s="5" customFormat="1">
      <c r="A336" s="15">
        <v>5</v>
      </c>
      <c r="B336" s="7" t="s">
        <v>21</v>
      </c>
      <c r="C336" s="8" t="str">
        <f>Gia_VLieu!C8</f>
        <v>cái</v>
      </c>
      <c r="D336" s="86">
        <f>Gia_VLieu!D8</f>
        <v>2000</v>
      </c>
      <c r="E336" s="42">
        <v>20</v>
      </c>
      <c r="F336" s="21">
        <f t="shared" si="23"/>
        <v>40000</v>
      </c>
      <c r="H336" s="12">
        <v>332</v>
      </c>
    </row>
    <row r="337" spans="1:8" s="5" customFormat="1">
      <c r="A337" s="15">
        <v>6</v>
      </c>
      <c r="B337" s="7" t="s">
        <v>82</v>
      </c>
      <c r="C337" s="8" t="str">
        <f>Gia_VLieu!C9</f>
        <v>cái</v>
      </c>
      <c r="D337" s="86">
        <f>Gia_VLieu!D9</f>
        <v>8000</v>
      </c>
      <c r="E337" s="42">
        <v>8</v>
      </c>
      <c r="F337" s="21">
        <f t="shared" si="23"/>
        <v>64000</v>
      </c>
      <c r="H337" s="12">
        <v>333</v>
      </c>
    </row>
    <row r="338" spans="1:8" s="5" customFormat="1">
      <c r="A338" s="15">
        <v>7</v>
      </c>
      <c r="B338" s="7" t="s">
        <v>83</v>
      </c>
      <c r="C338" s="8" t="str">
        <f>Gia_VLieu!C10</f>
        <v>cái</v>
      </c>
      <c r="D338" s="86">
        <f>Gia_VLieu!D10</f>
        <v>10000</v>
      </c>
      <c r="E338" s="42">
        <v>8</v>
      </c>
      <c r="F338" s="21">
        <f t="shared" si="23"/>
        <v>80000</v>
      </c>
      <c r="H338" s="12">
        <v>334</v>
      </c>
    </row>
    <row r="339" spans="1:8" s="5" customFormat="1">
      <c r="A339" s="15">
        <v>8</v>
      </c>
      <c r="B339" s="7" t="s">
        <v>84</v>
      </c>
      <c r="C339" s="8" t="str">
        <f>Gia_VLieu!C11</f>
        <v>hộp</v>
      </c>
      <c r="D339" s="86">
        <f>Gia_VLieu!D11</f>
        <v>2500</v>
      </c>
      <c r="E339" s="42">
        <v>6</v>
      </c>
      <c r="F339" s="21">
        <f t="shared" si="23"/>
        <v>15000</v>
      </c>
      <c r="H339" s="12">
        <v>335</v>
      </c>
    </row>
    <row r="340" spans="1:8" s="5" customFormat="1">
      <c r="A340" s="15">
        <v>9</v>
      </c>
      <c r="B340" s="7" t="s">
        <v>85</v>
      </c>
      <c r="C340" s="8" t="str">
        <f>Gia_VLieu!C12</f>
        <v>hộp</v>
      </c>
      <c r="D340" s="86">
        <f>Gia_VLieu!D12</f>
        <v>2000</v>
      </c>
      <c r="E340" s="42">
        <v>7</v>
      </c>
      <c r="F340" s="21">
        <f t="shared" si="23"/>
        <v>14000</v>
      </c>
      <c r="H340" s="12">
        <v>336</v>
      </c>
    </row>
    <row r="341" spans="1:8" s="5" customFormat="1">
      <c r="A341" s="15">
        <v>10</v>
      </c>
      <c r="B341" s="7" t="s">
        <v>86</v>
      </c>
      <c r="C341" s="8" t="str">
        <f>Gia_VLieu!C13</f>
        <v>tập</v>
      </c>
      <c r="D341" s="86">
        <f>Gia_VLieu!D13</f>
        <v>8000</v>
      </c>
      <c r="E341" s="42">
        <v>12</v>
      </c>
      <c r="F341" s="21">
        <f t="shared" si="23"/>
        <v>96000</v>
      </c>
      <c r="H341" s="12">
        <v>337</v>
      </c>
    </row>
    <row r="342" spans="1:8" s="5" customFormat="1">
      <c r="A342" s="57">
        <v>11</v>
      </c>
      <c r="B342" s="58" t="s">
        <v>87</v>
      </c>
      <c r="C342" s="59" t="str">
        <f>Gia_VLieu!C14</f>
        <v>cái</v>
      </c>
      <c r="D342" s="87">
        <f>Gia_VLieu!D14</f>
        <v>15000</v>
      </c>
      <c r="E342" s="68">
        <v>8</v>
      </c>
      <c r="F342" s="55">
        <f t="shared" si="23"/>
        <v>120000</v>
      </c>
      <c r="H342" s="12">
        <v>338</v>
      </c>
    </row>
    <row r="343" spans="1:8" s="5" customFormat="1">
      <c r="A343" s="15" t="e">
        <f>#REF!</f>
        <v>#REF!</v>
      </c>
      <c r="B343" s="7" t="e">
        <f>#REF!</f>
        <v>#REF!</v>
      </c>
      <c r="C343" s="8"/>
      <c r="D343" s="86"/>
      <c r="E343" s="43"/>
      <c r="F343" s="21"/>
      <c r="H343" s="12">
        <v>339</v>
      </c>
    </row>
    <row r="344" spans="1:8" s="5" customFormat="1">
      <c r="A344" s="15" t="e">
        <f>#REF!</f>
        <v>#REF!</v>
      </c>
      <c r="B344" s="7" t="e">
        <f>#REF!</f>
        <v>#REF!</v>
      </c>
      <c r="C344" s="8"/>
      <c r="D344" s="151">
        <f>Gia_VLieu!D$16</f>
        <v>1</v>
      </c>
      <c r="E344" s="63"/>
      <c r="F344" s="23">
        <f>SUM(F345:F355)*D344</f>
        <v>481</v>
      </c>
      <c r="H344" s="12">
        <v>340</v>
      </c>
    </row>
    <row r="345" spans="1:8" s="5" customFormat="1">
      <c r="A345" s="15">
        <v>1</v>
      </c>
      <c r="B345" s="7" t="s">
        <v>77</v>
      </c>
      <c r="C345" s="8" t="str">
        <f>Gia_VLieu!C4</f>
        <v>gram</v>
      </c>
      <c r="D345" s="86">
        <f>Gia_VLieu!D4</f>
        <v>45000</v>
      </c>
      <c r="E345" s="72">
        <v>1E-3</v>
      </c>
      <c r="F345" s="21">
        <f t="shared" ref="F345:F355" si="24">D345*E345</f>
        <v>45</v>
      </c>
      <c r="H345" s="12">
        <v>341</v>
      </c>
    </row>
    <row r="346" spans="1:8" s="5" customFormat="1">
      <c r="A346" s="15">
        <v>2</v>
      </c>
      <c r="B346" s="7" t="s">
        <v>78</v>
      </c>
      <c r="C346" s="8" t="str">
        <f>Gia_VLieu!C5</f>
        <v>hộp</v>
      </c>
      <c r="D346" s="86">
        <f>Gia_VLieu!D5</f>
        <v>1450000</v>
      </c>
      <c r="E346" s="72">
        <v>1E-4</v>
      </c>
      <c r="F346" s="21">
        <f t="shared" si="24"/>
        <v>145</v>
      </c>
      <c r="H346" s="12">
        <v>342</v>
      </c>
    </row>
    <row r="347" spans="1:8" s="5" customFormat="1">
      <c r="A347" s="15">
        <v>3</v>
      </c>
      <c r="B347" s="7" t="s">
        <v>79</v>
      </c>
      <c r="C347" s="8" t="str">
        <f>Gia_VLieu!C6</f>
        <v>hộp</v>
      </c>
      <c r="D347" s="86">
        <f>Gia_VLieu!D6</f>
        <v>250000</v>
      </c>
      <c r="E347" s="72">
        <v>2.0000000000000001E-4</v>
      </c>
      <c r="F347" s="21">
        <f t="shared" si="24"/>
        <v>50</v>
      </c>
      <c r="H347" s="12">
        <v>343</v>
      </c>
    </row>
    <row r="348" spans="1:8" s="5" customFormat="1">
      <c r="A348" s="15">
        <v>4</v>
      </c>
      <c r="B348" s="7" t="s">
        <v>80</v>
      </c>
      <c r="C348" s="8" t="str">
        <f>Gia_VLieu!C7</f>
        <v>quyển</v>
      </c>
      <c r="D348" s="86">
        <f>Gia_VLieu!D7</f>
        <v>10000</v>
      </c>
      <c r="E348" s="72">
        <v>0.01</v>
      </c>
      <c r="F348" s="21">
        <f t="shared" si="24"/>
        <v>100</v>
      </c>
      <c r="H348" s="12">
        <v>344</v>
      </c>
    </row>
    <row r="349" spans="1:8" s="5" customFormat="1">
      <c r="A349" s="15">
        <v>5</v>
      </c>
      <c r="B349" s="7" t="s">
        <v>21</v>
      </c>
      <c r="C349" s="8" t="str">
        <f>Gia_VLieu!C8</f>
        <v>cái</v>
      </c>
      <c r="D349" s="86">
        <f>Gia_VLieu!D8</f>
        <v>2000</v>
      </c>
      <c r="E349" s="72">
        <v>8.0000000000000002E-3</v>
      </c>
      <c r="F349" s="21">
        <f t="shared" si="24"/>
        <v>16</v>
      </c>
      <c r="H349" s="12">
        <v>345</v>
      </c>
    </row>
    <row r="350" spans="1:8" s="5" customFormat="1">
      <c r="A350" s="15">
        <v>6</v>
      </c>
      <c r="B350" s="7" t="s">
        <v>82</v>
      </c>
      <c r="C350" s="8" t="str">
        <f>Gia_VLieu!C9</f>
        <v>cái</v>
      </c>
      <c r="D350" s="86">
        <f>Gia_VLieu!D9</f>
        <v>8000</v>
      </c>
      <c r="E350" s="72">
        <v>2E-3</v>
      </c>
      <c r="F350" s="21">
        <f t="shared" si="24"/>
        <v>16</v>
      </c>
      <c r="H350" s="12">
        <v>346</v>
      </c>
    </row>
    <row r="351" spans="1:8" s="5" customFormat="1">
      <c r="A351" s="15">
        <v>7</v>
      </c>
      <c r="B351" s="7" t="s">
        <v>83</v>
      </c>
      <c r="C351" s="8" t="str">
        <f>Gia_VLieu!C10</f>
        <v>cái</v>
      </c>
      <c r="D351" s="86">
        <f>Gia_VLieu!D10</f>
        <v>10000</v>
      </c>
      <c r="E351" s="72">
        <v>2E-3</v>
      </c>
      <c r="F351" s="21">
        <f t="shared" si="24"/>
        <v>20</v>
      </c>
      <c r="H351" s="12">
        <v>347</v>
      </c>
    </row>
    <row r="352" spans="1:8" s="5" customFormat="1">
      <c r="A352" s="15">
        <v>8</v>
      </c>
      <c r="B352" s="7" t="s">
        <v>84</v>
      </c>
      <c r="C352" s="8" t="str">
        <f>Gia_VLieu!C11</f>
        <v>hộp</v>
      </c>
      <c r="D352" s="86">
        <f>Gia_VLieu!D11</f>
        <v>2500</v>
      </c>
      <c r="E352" s="72">
        <v>6.0000000000000001E-3</v>
      </c>
      <c r="F352" s="21">
        <f t="shared" si="24"/>
        <v>15</v>
      </c>
      <c r="H352" s="12">
        <v>348</v>
      </c>
    </row>
    <row r="353" spans="1:8" s="5" customFormat="1">
      <c r="A353" s="15">
        <v>9</v>
      </c>
      <c r="B353" s="7" t="s">
        <v>85</v>
      </c>
      <c r="C353" s="8" t="str">
        <f>Gia_VLieu!C12</f>
        <v>hộp</v>
      </c>
      <c r="D353" s="86">
        <f>Gia_VLieu!D12</f>
        <v>2000</v>
      </c>
      <c r="E353" s="72">
        <v>2E-3</v>
      </c>
      <c r="F353" s="21">
        <f t="shared" si="24"/>
        <v>4</v>
      </c>
      <c r="H353" s="12">
        <v>349</v>
      </c>
    </row>
    <row r="354" spans="1:8" s="5" customFormat="1">
      <c r="A354" s="15">
        <v>10</v>
      </c>
      <c r="B354" s="7" t="s">
        <v>86</v>
      </c>
      <c r="C354" s="8" t="str">
        <f>Gia_VLieu!C13</f>
        <v>tập</v>
      </c>
      <c r="D354" s="86">
        <f>Gia_VLieu!D13</f>
        <v>8000</v>
      </c>
      <c r="E354" s="72">
        <v>5.0000000000000001E-3</v>
      </c>
      <c r="F354" s="21">
        <f t="shared" si="24"/>
        <v>40</v>
      </c>
      <c r="H354" s="12">
        <v>350</v>
      </c>
    </row>
    <row r="355" spans="1:8" s="5" customFormat="1">
      <c r="A355" s="57">
        <v>11</v>
      </c>
      <c r="B355" s="58" t="s">
        <v>87</v>
      </c>
      <c r="C355" s="59" t="str">
        <f>Gia_VLieu!C14</f>
        <v>cái</v>
      </c>
      <c r="D355" s="87">
        <f>Gia_VLieu!D14</f>
        <v>15000</v>
      </c>
      <c r="E355" s="73">
        <v>2E-3</v>
      </c>
      <c r="F355" s="55">
        <f t="shared" si="24"/>
        <v>30</v>
      </c>
      <c r="H355" s="12">
        <v>351</v>
      </c>
    </row>
    <row r="356" spans="1:8" s="5" customFormat="1">
      <c r="A356" s="15" t="e">
        <f>#REF!</f>
        <v>#REF!</v>
      </c>
      <c r="B356" s="7" t="e">
        <f>#REF!</f>
        <v>#REF!</v>
      </c>
      <c r="C356" s="8"/>
      <c r="D356" s="151">
        <f>Gia_VLieu!D$16</f>
        <v>1</v>
      </c>
      <c r="E356" s="63"/>
      <c r="F356" s="23">
        <f>SUM(F357:F367)*D356</f>
        <v>3534</v>
      </c>
      <c r="H356" s="12">
        <v>352</v>
      </c>
    </row>
    <row r="357" spans="1:8" s="5" customFormat="1">
      <c r="A357" s="15">
        <v>1</v>
      </c>
      <c r="B357" s="7" t="s">
        <v>77</v>
      </c>
      <c r="C357" s="8" t="str">
        <f>Gia_VLieu!C4</f>
        <v>gram</v>
      </c>
      <c r="D357" s="86">
        <f>Gia_VLieu!D4</f>
        <v>45000</v>
      </c>
      <c r="E357" s="72">
        <v>2E-3</v>
      </c>
      <c r="F357" s="21">
        <f t="shared" ref="F357:F367" si="25">D357*E357</f>
        <v>90</v>
      </c>
      <c r="H357" s="12">
        <v>353</v>
      </c>
    </row>
    <row r="358" spans="1:8" s="5" customFormat="1">
      <c r="A358" s="15">
        <v>2</v>
      </c>
      <c r="B358" s="7" t="s">
        <v>78</v>
      </c>
      <c r="C358" s="8" t="str">
        <f>Gia_VLieu!C5</f>
        <v>hộp</v>
      </c>
      <c r="D358" s="86">
        <f>Gia_VLieu!D5</f>
        <v>1450000</v>
      </c>
      <c r="E358" s="72">
        <v>2E-3</v>
      </c>
      <c r="F358" s="21">
        <f t="shared" si="25"/>
        <v>2900</v>
      </c>
      <c r="H358" s="12">
        <v>354</v>
      </c>
    </row>
    <row r="359" spans="1:8" s="5" customFormat="1">
      <c r="A359" s="15">
        <v>3</v>
      </c>
      <c r="B359" s="7" t="s">
        <v>79</v>
      </c>
      <c r="C359" s="8" t="str">
        <f>Gia_VLieu!C6</f>
        <v>hộp</v>
      </c>
      <c r="D359" s="86">
        <f>Gia_VLieu!D6</f>
        <v>250000</v>
      </c>
      <c r="E359" s="72">
        <v>5.9999999999999995E-4</v>
      </c>
      <c r="F359" s="21">
        <f t="shared" si="25"/>
        <v>150</v>
      </c>
      <c r="H359" s="12">
        <v>355</v>
      </c>
    </row>
    <row r="360" spans="1:8" s="5" customFormat="1">
      <c r="A360" s="15">
        <v>4</v>
      </c>
      <c r="B360" s="7" t="s">
        <v>80</v>
      </c>
      <c r="C360" s="8" t="str">
        <f>Gia_VLieu!C7</f>
        <v>quyển</v>
      </c>
      <c r="D360" s="86">
        <f>Gia_VLieu!D7</f>
        <v>10000</v>
      </c>
      <c r="E360" s="72">
        <v>0.01</v>
      </c>
      <c r="F360" s="21">
        <f t="shared" si="25"/>
        <v>100</v>
      </c>
      <c r="H360" s="12">
        <v>356</v>
      </c>
    </row>
    <row r="361" spans="1:8" s="5" customFormat="1">
      <c r="A361" s="15">
        <v>5</v>
      </c>
      <c r="B361" s="7" t="s">
        <v>21</v>
      </c>
      <c r="C361" s="8" t="str">
        <f>Gia_VLieu!C8</f>
        <v>cái</v>
      </c>
      <c r="D361" s="86">
        <f>Gia_VLieu!D8</f>
        <v>2000</v>
      </c>
      <c r="E361" s="72">
        <v>8.9999999999999993E-3</v>
      </c>
      <c r="F361" s="21">
        <f t="shared" si="25"/>
        <v>18</v>
      </c>
      <c r="H361" s="12">
        <v>357</v>
      </c>
    </row>
    <row r="362" spans="1:8" s="5" customFormat="1">
      <c r="A362" s="15">
        <v>6</v>
      </c>
      <c r="B362" s="7" t="s">
        <v>82</v>
      </c>
      <c r="C362" s="8" t="str">
        <f>Gia_VLieu!C9</f>
        <v>cái</v>
      </c>
      <c r="D362" s="86">
        <f>Gia_VLieu!D9</f>
        <v>8000</v>
      </c>
      <c r="E362" s="72">
        <v>3.0000000000000001E-3</v>
      </c>
      <c r="F362" s="21">
        <f t="shared" si="25"/>
        <v>24</v>
      </c>
      <c r="H362" s="12">
        <v>358</v>
      </c>
    </row>
    <row r="363" spans="1:8" s="5" customFormat="1">
      <c r="A363" s="15">
        <v>7</v>
      </c>
      <c r="B363" s="7" t="s">
        <v>83</v>
      </c>
      <c r="C363" s="8" t="str">
        <f>Gia_VLieu!C10</f>
        <v>cái</v>
      </c>
      <c r="D363" s="86">
        <f>Gia_VLieu!D10</f>
        <v>10000</v>
      </c>
      <c r="E363" s="72">
        <v>3.0000000000000001E-3</v>
      </c>
      <c r="F363" s="21">
        <f t="shared" si="25"/>
        <v>30</v>
      </c>
      <c r="H363" s="12">
        <v>359</v>
      </c>
    </row>
    <row r="364" spans="1:8" s="5" customFormat="1">
      <c r="A364" s="15">
        <v>8</v>
      </c>
      <c r="B364" s="7" t="s">
        <v>84</v>
      </c>
      <c r="C364" s="8" t="str">
        <f>Gia_VLieu!C11</f>
        <v>hộp</v>
      </c>
      <c r="D364" s="86">
        <f>Gia_VLieu!D11</f>
        <v>2500</v>
      </c>
      <c r="E364" s="72">
        <v>8.0000000000000002E-3</v>
      </c>
      <c r="F364" s="21">
        <f t="shared" si="25"/>
        <v>20</v>
      </c>
      <c r="H364" s="12">
        <v>360</v>
      </c>
    </row>
    <row r="365" spans="1:8" s="5" customFormat="1">
      <c r="A365" s="15">
        <v>9</v>
      </c>
      <c r="B365" s="7" t="s">
        <v>85</v>
      </c>
      <c r="C365" s="8" t="str">
        <f>Gia_VLieu!C12</f>
        <v>hộp</v>
      </c>
      <c r="D365" s="86">
        <f>Gia_VLieu!D12</f>
        <v>2000</v>
      </c>
      <c r="E365" s="72">
        <v>5.0000000000000001E-3</v>
      </c>
      <c r="F365" s="21">
        <f t="shared" si="25"/>
        <v>10</v>
      </c>
      <c r="H365" s="12">
        <v>361</v>
      </c>
    </row>
    <row r="366" spans="1:8" s="5" customFormat="1">
      <c r="A366" s="15">
        <v>10</v>
      </c>
      <c r="B366" s="7" t="s">
        <v>86</v>
      </c>
      <c r="C366" s="8" t="str">
        <f>Gia_VLieu!C13</f>
        <v>tập</v>
      </c>
      <c r="D366" s="86">
        <f>Gia_VLieu!D13</f>
        <v>8000</v>
      </c>
      <c r="E366" s="72">
        <v>8.9999999999999993E-3</v>
      </c>
      <c r="F366" s="21">
        <f t="shared" si="25"/>
        <v>72</v>
      </c>
      <c r="H366" s="12">
        <v>362</v>
      </c>
    </row>
    <row r="367" spans="1:8" s="5" customFormat="1">
      <c r="A367" s="57">
        <v>11</v>
      </c>
      <c r="B367" s="58" t="s">
        <v>87</v>
      </c>
      <c r="C367" s="59" t="str">
        <f>Gia_VLieu!C14</f>
        <v>cái</v>
      </c>
      <c r="D367" s="87">
        <f>Gia_VLieu!D14</f>
        <v>15000</v>
      </c>
      <c r="E367" s="73">
        <v>8.0000000000000002E-3</v>
      </c>
      <c r="F367" s="55">
        <f t="shared" si="25"/>
        <v>120</v>
      </c>
      <c r="H367" s="12">
        <v>363</v>
      </c>
    </row>
    <row r="368" spans="1:8" s="16" customFormat="1">
      <c r="A368" s="14" t="e">
        <f>#REF!</f>
        <v>#REF!</v>
      </c>
      <c r="B368" s="10" t="e">
        <f>#REF!</f>
        <v>#REF!</v>
      </c>
      <c r="C368" s="9"/>
      <c r="D368" s="92"/>
      <c r="E368" s="66"/>
      <c r="F368" s="22"/>
      <c r="H368" s="12">
        <v>364</v>
      </c>
    </row>
    <row r="369" spans="1:8" s="46" customFormat="1">
      <c r="A369" s="44" t="e">
        <f>#REF!</f>
        <v>#REF!</v>
      </c>
      <c r="B369" s="45" t="e">
        <f>#REF!</f>
        <v>#REF!</v>
      </c>
      <c r="C369" s="20"/>
      <c r="D369" s="90"/>
      <c r="E369" s="63"/>
      <c r="F369" s="23"/>
      <c r="H369" s="12">
        <v>365</v>
      </c>
    </row>
    <row r="370" spans="1:8" s="5" customFormat="1">
      <c r="A370" s="15" t="e">
        <f>#REF!</f>
        <v>#REF!</v>
      </c>
      <c r="B370" s="7" t="e">
        <f>#REF!</f>
        <v>#REF!</v>
      </c>
      <c r="C370" s="8"/>
      <c r="D370" s="151">
        <f>Gia_VLieu!D$16</f>
        <v>1</v>
      </c>
      <c r="E370" s="63"/>
      <c r="F370" s="23">
        <f>SUM(F371:F381)*D370</f>
        <v>497500</v>
      </c>
      <c r="H370" s="12">
        <v>366</v>
      </c>
    </row>
    <row r="371" spans="1:8" s="5" customFormat="1">
      <c r="A371" s="15">
        <v>1</v>
      </c>
      <c r="B371" s="7" t="s">
        <v>77</v>
      </c>
      <c r="C371" s="8" t="str">
        <f>Gia_VLieu!C4</f>
        <v>gram</v>
      </c>
      <c r="D371" s="86">
        <f>Gia_VLieu!D4</f>
        <v>45000</v>
      </c>
      <c r="E371" s="72">
        <v>1</v>
      </c>
      <c r="F371" s="21">
        <f t="shared" ref="F371:F381" si="26">D371*E371</f>
        <v>45000</v>
      </c>
      <c r="H371" s="12">
        <v>367</v>
      </c>
    </row>
    <row r="372" spans="1:8" s="5" customFormat="1">
      <c r="A372" s="15">
        <v>2</v>
      </c>
      <c r="B372" s="7" t="s">
        <v>78</v>
      </c>
      <c r="C372" s="8" t="str">
        <f>Gia_VLieu!C5</f>
        <v>hộp</v>
      </c>
      <c r="D372" s="86">
        <f>Gia_VLieu!D5</f>
        <v>1450000</v>
      </c>
      <c r="E372" s="72">
        <v>0.1</v>
      </c>
      <c r="F372" s="21">
        <f t="shared" si="26"/>
        <v>145000</v>
      </c>
      <c r="H372" s="12">
        <v>368</v>
      </c>
    </row>
    <row r="373" spans="1:8" s="5" customFormat="1">
      <c r="A373" s="15">
        <v>3</v>
      </c>
      <c r="B373" s="7" t="s">
        <v>79</v>
      </c>
      <c r="C373" s="8" t="str">
        <f>Gia_VLieu!C6</f>
        <v>hộp</v>
      </c>
      <c r="D373" s="86">
        <f>Gia_VLieu!D6</f>
        <v>250000</v>
      </c>
      <c r="E373" s="72">
        <v>0.05</v>
      </c>
      <c r="F373" s="21">
        <f t="shared" si="26"/>
        <v>12500</v>
      </c>
      <c r="H373" s="12">
        <v>369</v>
      </c>
    </row>
    <row r="374" spans="1:8" s="5" customFormat="1">
      <c r="A374" s="15">
        <v>4</v>
      </c>
      <c r="B374" s="7" t="s">
        <v>80</v>
      </c>
      <c r="C374" s="8" t="str">
        <f>Gia_VLieu!C7</f>
        <v>quyển</v>
      </c>
      <c r="D374" s="86">
        <f>Gia_VLieu!D7</f>
        <v>10000</v>
      </c>
      <c r="E374" s="72">
        <v>8</v>
      </c>
      <c r="F374" s="21">
        <f t="shared" si="26"/>
        <v>80000</v>
      </c>
      <c r="H374" s="12">
        <v>370</v>
      </c>
    </row>
    <row r="375" spans="1:8" s="5" customFormat="1">
      <c r="A375" s="15">
        <v>5</v>
      </c>
      <c r="B375" s="7" t="s">
        <v>21</v>
      </c>
      <c r="C375" s="8" t="str">
        <f>Gia_VLieu!C8</f>
        <v>cái</v>
      </c>
      <c r="D375" s="86">
        <f>Gia_VLieu!D8</f>
        <v>2000</v>
      </c>
      <c r="E375" s="72">
        <v>15</v>
      </c>
      <c r="F375" s="21">
        <f t="shared" si="26"/>
        <v>30000</v>
      </c>
      <c r="H375" s="12">
        <v>371</v>
      </c>
    </row>
    <row r="376" spans="1:8" s="5" customFormat="1">
      <c r="A376" s="15">
        <v>6</v>
      </c>
      <c r="B376" s="7" t="s">
        <v>82</v>
      </c>
      <c r="C376" s="8" t="str">
        <f>Gia_VLieu!C9</f>
        <v>cái</v>
      </c>
      <c r="D376" s="86">
        <f>Gia_VLieu!D9</f>
        <v>8000</v>
      </c>
      <c r="E376" s="72">
        <v>6</v>
      </c>
      <c r="F376" s="21">
        <f t="shared" si="26"/>
        <v>48000</v>
      </c>
      <c r="H376" s="12">
        <v>372</v>
      </c>
    </row>
    <row r="377" spans="1:8" s="5" customFormat="1">
      <c r="A377" s="15">
        <v>7</v>
      </c>
      <c r="B377" s="7" t="s">
        <v>83</v>
      </c>
      <c r="C377" s="8" t="str">
        <f>Gia_VLieu!C10</f>
        <v>cái</v>
      </c>
      <c r="D377" s="86">
        <f>Gia_VLieu!D10</f>
        <v>10000</v>
      </c>
      <c r="E377" s="72">
        <v>6</v>
      </c>
      <c r="F377" s="21">
        <f t="shared" si="26"/>
        <v>60000</v>
      </c>
      <c r="H377" s="12">
        <v>373</v>
      </c>
    </row>
    <row r="378" spans="1:8" s="5" customFormat="1">
      <c r="A378" s="15">
        <v>8</v>
      </c>
      <c r="B378" s="7" t="s">
        <v>84</v>
      </c>
      <c r="C378" s="8" t="str">
        <f>Gia_VLieu!C11</f>
        <v>hộp</v>
      </c>
      <c r="D378" s="86">
        <f>Gia_VLieu!D11</f>
        <v>2500</v>
      </c>
      <c r="E378" s="72">
        <v>2</v>
      </c>
      <c r="F378" s="21">
        <f t="shared" si="26"/>
        <v>5000</v>
      </c>
      <c r="H378" s="12">
        <v>374</v>
      </c>
    </row>
    <row r="379" spans="1:8" s="5" customFormat="1">
      <c r="A379" s="15">
        <v>9</v>
      </c>
      <c r="B379" s="7" t="s">
        <v>85</v>
      </c>
      <c r="C379" s="8" t="str">
        <f>Gia_VLieu!C12</f>
        <v>hộp</v>
      </c>
      <c r="D379" s="86">
        <f>Gia_VLieu!D12</f>
        <v>2000</v>
      </c>
      <c r="E379" s="72">
        <v>2</v>
      </c>
      <c r="F379" s="21">
        <f t="shared" si="26"/>
        <v>4000</v>
      </c>
      <c r="H379" s="12">
        <v>375</v>
      </c>
    </row>
    <row r="380" spans="1:8" s="5" customFormat="1">
      <c r="A380" s="15">
        <v>10</v>
      </c>
      <c r="B380" s="7" t="s">
        <v>86</v>
      </c>
      <c r="C380" s="8" t="str">
        <f>Gia_VLieu!C13</f>
        <v>tập</v>
      </c>
      <c r="D380" s="86">
        <f>Gia_VLieu!D13</f>
        <v>8000</v>
      </c>
      <c r="E380" s="72">
        <v>1</v>
      </c>
      <c r="F380" s="21">
        <f t="shared" si="26"/>
        <v>8000</v>
      </c>
      <c r="H380" s="12">
        <v>376</v>
      </c>
    </row>
    <row r="381" spans="1:8" s="5" customFormat="1">
      <c r="A381" s="57">
        <v>11</v>
      </c>
      <c r="B381" s="58" t="s">
        <v>87</v>
      </c>
      <c r="C381" s="59" t="str">
        <f>Gia_VLieu!C14</f>
        <v>cái</v>
      </c>
      <c r="D381" s="87">
        <f>Gia_VLieu!D14</f>
        <v>15000</v>
      </c>
      <c r="E381" s="73">
        <v>4</v>
      </c>
      <c r="F381" s="55">
        <f t="shared" si="26"/>
        <v>60000</v>
      </c>
      <c r="H381" s="12">
        <v>377</v>
      </c>
    </row>
    <row r="382" spans="1:8" s="5" customFormat="1">
      <c r="A382" s="15" t="e">
        <f>#REF!</f>
        <v>#REF!</v>
      </c>
      <c r="B382" s="7" t="e">
        <f>#REF!</f>
        <v>#REF!</v>
      </c>
      <c r="C382" s="8"/>
      <c r="D382" s="151">
        <f>Gia_VLieu!D$16</f>
        <v>1</v>
      </c>
      <c r="E382" s="63"/>
      <c r="F382" s="23">
        <f>SUM(F383:F393)*D382</f>
        <v>716500</v>
      </c>
      <c r="H382" s="12">
        <v>378</v>
      </c>
    </row>
    <row r="383" spans="1:8" s="5" customFormat="1">
      <c r="A383" s="15">
        <v>1</v>
      </c>
      <c r="B383" s="7" t="s">
        <v>77</v>
      </c>
      <c r="C383" s="8" t="str">
        <f>Gia_VLieu!C4</f>
        <v>gram</v>
      </c>
      <c r="D383" s="86">
        <f>Gia_VLieu!D4</f>
        <v>45000</v>
      </c>
      <c r="E383" s="72">
        <v>1</v>
      </c>
      <c r="F383" s="21">
        <f t="shared" ref="F383:F393" si="27">D383*E383</f>
        <v>45000</v>
      </c>
      <c r="H383" s="12">
        <v>379</v>
      </c>
    </row>
    <row r="384" spans="1:8" s="5" customFormat="1">
      <c r="A384" s="15">
        <v>2</v>
      </c>
      <c r="B384" s="7" t="s">
        <v>78</v>
      </c>
      <c r="C384" s="8" t="str">
        <f>Gia_VLieu!C5</f>
        <v>hộp</v>
      </c>
      <c r="D384" s="86">
        <f>Gia_VLieu!D5</f>
        <v>1450000</v>
      </c>
      <c r="E384" s="72">
        <v>0.15</v>
      </c>
      <c r="F384" s="21">
        <f t="shared" si="27"/>
        <v>217500</v>
      </c>
      <c r="H384" s="12">
        <v>380</v>
      </c>
    </row>
    <row r="385" spans="1:8" s="5" customFormat="1">
      <c r="A385" s="15">
        <v>3</v>
      </c>
      <c r="B385" s="7" t="s">
        <v>79</v>
      </c>
      <c r="C385" s="8" t="str">
        <f>Gia_VLieu!C6</f>
        <v>hộp</v>
      </c>
      <c r="D385" s="86">
        <f>Gia_VLieu!D6</f>
        <v>250000</v>
      </c>
      <c r="E385" s="72">
        <v>0.2</v>
      </c>
      <c r="F385" s="21">
        <f t="shared" si="27"/>
        <v>50000</v>
      </c>
      <c r="H385" s="12">
        <v>381</v>
      </c>
    </row>
    <row r="386" spans="1:8" s="5" customFormat="1">
      <c r="A386" s="15">
        <v>4</v>
      </c>
      <c r="B386" s="7" t="s">
        <v>80</v>
      </c>
      <c r="C386" s="8" t="str">
        <f>Gia_VLieu!C7</f>
        <v>quyển</v>
      </c>
      <c r="D386" s="86">
        <f>Gia_VLieu!D7</f>
        <v>10000</v>
      </c>
      <c r="E386" s="72">
        <v>12</v>
      </c>
      <c r="F386" s="21">
        <f t="shared" si="27"/>
        <v>120000</v>
      </c>
      <c r="H386" s="12">
        <v>382</v>
      </c>
    </row>
    <row r="387" spans="1:8" s="5" customFormat="1">
      <c r="A387" s="15">
        <v>5</v>
      </c>
      <c r="B387" s="7" t="s">
        <v>21</v>
      </c>
      <c r="C387" s="8" t="str">
        <f>Gia_VLieu!C8</f>
        <v>cái</v>
      </c>
      <c r="D387" s="86">
        <f>Gia_VLieu!D8</f>
        <v>2000</v>
      </c>
      <c r="E387" s="72">
        <v>20</v>
      </c>
      <c r="F387" s="21">
        <f t="shared" si="27"/>
        <v>40000</v>
      </c>
      <c r="H387" s="12">
        <v>383</v>
      </c>
    </row>
    <row r="388" spans="1:8" s="5" customFormat="1">
      <c r="A388" s="15">
        <v>6</v>
      </c>
      <c r="B388" s="7" t="s">
        <v>82</v>
      </c>
      <c r="C388" s="8" t="str">
        <f>Gia_VLieu!C9</f>
        <v>cái</v>
      </c>
      <c r="D388" s="86">
        <f>Gia_VLieu!D9</f>
        <v>8000</v>
      </c>
      <c r="E388" s="72">
        <v>8</v>
      </c>
      <c r="F388" s="21">
        <f t="shared" si="27"/>
        <v>64000</v>
      </c>
      <c r="H388" s="12">
        <v>384</v>
      </c>
    </row>
    <row r="389" spans="1:8" s="5" customFormat="1">
      <c r="A389" s="15">
        <v>7</v>
      </c>
      <c r="B389" s="7" t="s">
        <v>83</v>
      </c>
      <c r="C389" s="8" t="str">
        <f>Gia_VLieu!C10</f>
        <v>cái</v>
      </c>
      <c r="D389" s="86">
        <f>Gia_VLieu!D10</f>
        <v>10000</v>
      </c>
      <c r="E389" s="72">
        <v>8</v>
      </c>
      <c r="F389" s="21">
        <f t="shared" si="27"/>
        <v>80000</v>
      </c>
      <c r="H389" s="12">
        <v>385</v>
      </c>
    </row>
    <row r="390" spans="1:8" s="5" customFormat="1">
      <c r="A390" s="15">
        <v>8</v>
      </c>
      <c r="B390" s="7" t="s">
        <v>84</v>
      </c>
      <c r="C390" s="8" t="str">
        <f>Gia_VLieu!C11</f>
        <v>hộp</v>
      </c>
      <c r="D390" s="86">
        <f>Gia_VLieu!D11</f>
        <v>2500</v>
      </c>
      <c r="E390" s="72">
        <v>2</v>
      </c>
      <c r="F390" s="21">
        <f t="shared" si="27"/>
        <v>5000</v>
      </c>
      <c r="H390" s="12">
        <v>386</v>
      </c>
    </row>
    <row r="391" spans="1:8" s="5" customFormat="1">
      <c r="A391" s="15">
        <v>9</v>
      </c>
      <c r="B391" s="7" t="s">
        <v>85</v>
      </c>
      <c r="C391" s="8" t="str">
        <f>Gia_VLieu!C12</f>
        <v>hộp</v>
      </c>
      <c r="D391" s="86">
        <f>Gia_VLieu!D12</f>
        <v>2000</v>
      </c>
      <c r="E391" s="72">
        <v>2</v>
      </c>
      <c r="F391" s="21">
        <f t="shared" si="27"/>
        <v>4000</v>
      </c>
      <c r="H391" s="12">
        <v>387</v>
      </c>
    </row>
    <row r="392" spans="1:8" s="5" customFormat="1">
      <c r="A392" s="15">
        <v>10</v>
      </c>
      <c r="B392" s="7" t="s">
        <v>86</v>
      </c>
      <c r="C392" s="8" t="str">
        <f>Gia_VLieu!C13</f>
        <v>tập</v>
      </c>
      <c r="D392" s="86">
        <f>Gia_VLieu!D13</f>
        <v>8000</v>
      </c>
      <c r="E392" s="72">
        <v>2</v>
      </c>
      <c r="F392" s="21">
        <f t="shared" si="27"/>
        <v>16000</v>
      </c>
      <c r="H392" s="12">
        <v>388</v>
      </c>
    </row>
    <row r="393" spans="1:8" s="5" customFormat="1">
      <c r="A393" s="57">
        <v>11</v>
      </c>
      <c r="B393" s="58" t="s">
        <v>87</v>
      </c>
      <c r="C393" s="59" t="str">
        <f>Gia_VLieu!C14</f>
        <v>cái</v>
      </c>
      <c r="D393" s="87">
        <f>Gia_VLieu!D14</f>
        <v>15000</v>
      </c>
      <c r="E393" s="73">
        <v>5</v>
      </c>
      <c r="F393" s="55">
        <f t="shared" si="27"/>
        <v>75000</v>
      </c>
      <c r="H393" s="12">
        <v>389</v>
      </c>
    </row>
    <row r="394" spans="1:8" s="46" customFormat="1">
      <c r="A394" s="44" t="e">
        <f>#REF!</f>
        <v>#REF!</v>
      </c>
      <c r="B394" s="45" t="e">
        <f>#REF!</f>
        <v>#REF!</v>
      </c>
      <c r="C394" s="20"/>
      <c r="D394" s="151">
        <f>Gia_VLieu!D$16</f>
        <v>1</v>
      </c>
      <c r="E394" s="63"/>
      <c r="F394" s="23">
        <f>SUM(F395:F405)*D394</f>
        <v>604000</v>
      </c>
      <c r="H394" s="12">
        <v>390</v>
      </c>
    </row>
    <row r="395" spans="1:8" s="5" customFormat="1">
      <c r="A395" s="15">
        <v>1</v>
      </c>
      <c r="B395" s="7" t="s">
        <v>77</v>
      </c>
      <c r="C395" s="8" t="str">
        <f>Gia_VLieu!C4</f>
        <v>gram</v>
      </c>
      <c r="D395" s="86">
        <f>Gia_VLieu!D4</f>
        <v>45000</v>
      </c>
      <c r="E395" s="72">
        <v>0.5</v>
      </c>
      <c r="F395" s="21">
        <f t="shared" ref="F395:F405" si="28">D395*E395</f>
        <v>22500</v>
      </c>
      <c r="H395" s="12">
        <v>391</v>
      </c>
    </row>
    <row r="396" spans="1:8" s="5" customFormat="1">
      <c r="A396" s="15">
        <v>2</v>
      </c>
      <c r="B396" s="7" t="s">
        <v>78</v>
      </c>
      <c r="C396" s="8" t="str">
        <f>Gia_VLieu!C5</f>
        <v>hộp</v>
      </c>
      <c r="D396" s="86">
        <f>Gia_VLieu!D5</f>
        <v>1450000</v>
      </c>
      <c r="E396" s="72">
        <v>0.05</v>
      </c>
      <c r="F396" s="21">
        <f t="shared" si="28"/>
        <v>72500</v>
      </c>
      <c r="H396" s="12">
        <v>392</v>
      </c>
    </row>
    <row r="397" spans="1:8" s="5" customFormat="1">
      <c r="A397" s="15">
        <v>3</v>
      </c>
      <c r="B397" s="7" t="s">
        <v>79</v>
      </c>
      <c r="C397" s="8" t="str">
        <f>Gia_VLieu!C6</f>
        <v>hộp</v>
      </c>
      <c r="D397" s="86">
        <f>Gia_VLieu!D6</f>
        <v>250000</v>
      </c>
      <c r="E397" s="72">
        <v>0.05</v>
      </c>
      <c r="F397" s="21">
        <f t="shared" si="28"/>
        <v>12500</v>
      </c>
      <c r="H397" s="12">
        <v>393</v>
      </c>
    </row>
    <row r="398" spans="1:8" s="5" customFormat="1">
      <c r="A398" s="15">
        <v>4</v>
      </c>
      <c r="B398" s="7" t="s">
        <v>80</v>
      </c>
      <c r="C398" s="8" t="str">
        <f>Gia_VLieu!C7</f>
        <v>quyển</v>
      </c>
      <c r="D398" s="86">
        <f>Gia_VLieu!D7</f>
        <v>10000</v>
      </c>
      <c r="E398" s="72">
        <v>10</v>
      </c>
      <c r="F398" s="21">
        <f t="shared" si="28"/>
        <v>100000</v>
      </c>
      <c r="H398" s="12">
        <v>394</v>
      </c>
    </row>
    <row r="399" spans="1:8" s="5" customFormat="1">
      <c r="A399" s="15">
        <v>5</v>
      </c>
      <c r="B399" s="7" t="s">
        <v>21</v>
      </c>
      <c r="C399" s="8" t="str">
        <f>Gia_VLieu!C8</f>
        <v>cái</v>
      </c>
      <c r="D399" s="86">
        <f>Gia_VLieu!D8</f>
        <v>2000</v>
      </c>
      <c r="E399" s="72">
        <v>20</v>
      </c>
      <c r="F399" s="21">
        <f t="shared" si="28"/>
        <v>40000</v>
      </c>
      <c r="H399" s="12">
        <v>395</v>
      </c>
    </row>
    <row r="400" spans="1:8" s="5" customFormat="1">
      <c r="A400" s="15">
        <v>6</v>
      </c>
      <c r="B400" s="7" t="s">
        <v>82</v>
      </c>
      <c r="C400" s="8" t="str">
        <f>Gia_VLieu!C9</f>
        <v>cái</v>
      </c>
      <c r="D400" s="86">
        <f>Gia_VLieu!D9</f>
        <v>8000</v>
      </c>
      <c r="E400" s="72">
        <v>8</v>
      </c>
      <c r="F400" s="21">
        <f t="shared" si="28"/>
        <v>64000</v>
      </c>
      <c r="H400" s="12">
        <v>396</v>
      </c>
    </row>
    <row r="401" spans="1:8" s="5" customFormat="1">
      <c r="A401" s="15">
        <v>7</v>
      </c>
      <c r="B401" s="7" t="s">
        <v>83</v>
      </c>
      <c r="C401" s="8" t="str">
        <f>Gia_VLieu!C10</f>
        <v>cái</v>
      </c>
      <c r="D401" s="86">
        <f>Gia_VLieu!D10</f>
        <v>10000</v>
      </c>
      <c r="E401" s="72">
        <v>8</v>
      </c>
      <c r="F401" s="21">
        <f t="shared" si="28"/>
        <v>80000</v>
      </c>
      <c r="H401" s="12">
        <v>397</v>
      </c>
    </row>
    <row r="402" spans="1:8" s="5" customFormat="1">
      <c r="A402" s="15">
        <v>8</v>
      </c>
      <c r="B402" s="7" t="s">
        <v>84</v>
      </c>
      <c r="C402" s="8" t="str">
        <f>Gia_VLieu!C11</f>
        <v>hộp</v>
      </c>
      <c r="D402" s="86">
        <f>Gia_VLieu!D11</f>
        <v>2500</v>
      </c>
      <c r="E402" s="72">
        <v>5</v>
      </c>
      <c r="F402" s="21">
        <f t="shared" si="28"/>
        <v>12500</v>
      </c>
      <c r="H402" s="12">
        <v>398</v>
      </c>
    </row>
    <row r="403" spans="1:8" s="5" customFormat="1">
      <c r="A403" s="15">
        <v>9</v>
      </c>
      <c r="B403" s="7" t="s">
        <v>85</v>
      </c>
      <c r="C403" s="8" t="str">
        <f>Gia_VLieu!C12</f>
        <v>hộp</v>
      </c>
      <c r="D403" s="86">
        <f>Gia_VLieu!D12</f>
        <v>2000</v>
      </c>
      <c r="E403" s="72">
        <v>5</v>
      </c>
      <c r="F403" s="21">
        <f t="shared" si="28"/>
        <v>10000</v>
      </c>
      <c r="H403" s="12">
        <v>399</v>
      </c>
    </row>
    <row r="404" spans="1:8" s="5" customFormat="1">
      <c r="A404" s="15">
        <v>10</v>
      </c>
      <c r="B404" s="7" t="s">
        <v>86</v>
      </c>
      <c r="C404" s="8" t="str">
        <f>Gia_VLieu!C13</f>
        <v>tập</v>
      </c>
      <c r="D404" s="86">
        <f>Gia_VLieu!D13</f>
        <v>8000</v>
      </c>
      <c r="E404" s="72">
        <v>5</v>
      </c>
      <c r="F404" s="21">
        <f t="shared" si="28"/>
        <v>40000</v>
      </c>
      <c r="H404" s="12">
        <v>400</v>
      </c>
    </row>
    <row r="405" spans="1:8" s="5" customFormat="1">
      <c r="A405" s="57">
        <v>11</v>
      </c>
      <c r="B405" s="58" t="s">
        <v>87</v>
      </c>
      <c r="C405" s="59" t="str">
        <f>Gia_VLieu!C14</f>
        <v>cái</v>
      </c>
      <c r="D405" s="87">
        <f>Gia_VLieu!D14</f>
        <v>15000</v>
      </c>
      <c r="E405" s="73">
        <v>10</v>
      </c>
      <c r="F405" s="55">
        <f t="shared" si="28"/>
        <v>150000</v>
      </c>
      <c r="H405" s="12">
        <v>401</v>
      </c>
    </row>
    <row r="406" spans="1:8" s="16" customFormat="1">
      <c r="A406" s="14" t="e">
        <f>#REF!</f>
        <v>#REF!</v>
      </c>
      <c r="B406" s="10" t="e">
        <f>#REF!</f>
        <v>#REF!</v>
      </c>
      <c r="C406" s="9"/>
      <c r="D406" s="92"/>
      <c r="E406" s="66"/>
      <c r="F406" s="22"/>
      <c r="H406" s="12">
        <v>402</v>
      </c>
    </row>
    <row r="407" spans="1:8" s="16" customFormat="1">
      <c r="A407" s="164" t="e">
        <f>#REF!</f>
        <v>#REF!</v>
      </c>
      <c r="B407" s="165" t="e">
        <f>#REF!</f>
        <v>#REF!</v>
      </c>
      <c r="C407" s="166"/>
      <c r="D407" s="167"/>
      <c r="E407" s="189"/>
      <c r="F407" s="168"/>
      <c r="H407" s="12">
        <v>403</v>
      </c>
    </row>
    <row r="408" spans="1:8" s="46" customFormat="1">
      <c r="A408" s="154" t="e">
        <f>#REF!</f>
        <v>#REF!</v>
      </c>
      <c r="B408" s="155" t="e">
        <f>#REF!</f>
        <v>#REF!</v>
      </c>
      <c r="C408" s="156"/>
      <c r="D408" s="157"/>
      <c r="E408" s="190"/>
      <c r="F408" s="158"/>
      <c r="H408" s="12">
        <v>404</v>
      </c>
    </row>
    <row r="409" spans="1:8" s="46" customFormat="1">
      <c r="A409" s="154" t="e">
        <f>#REF!</f>
        <v>#REF!</v>
      </c>
      <c r="B409" s="155" t="e">
        <f>#REF!</f>
        <v>#REF!</v>
      </c>
      <c r="C409" s="156"/>
      <c r="D409" s="157"/>
      <c r="E409" s="190"/>
      <c r="F409" s="158"/>
      <c r="H409" s="12">
        <v>405</v>
      </c>
    </row>
    <row r="410" spans="1:8" s="46" customFormat="1">
      <c r="A410" s="154" t="e">
        <f>#REF!</f>
        <v>#REF!</v>
      </c>
      <c r="B410" s="155" t="e">
        <f>#REF!</f>
        <v>#REF!</v>
      </c>
      <c r="C410" s="156"/>
      <c r="D410" s="191"/>
      <c r="E410" s="190"/>
      <c r="F410" s="158"/>
      <c r="H410" s="12">
        <v>406</v>
      </c>
    </row>
    <row r="411" spans="1:8" s="5" customFormat="1">
      <c r="A411" s="159" t="e">
        <f>#REF!</f>
        <v>#REF!</v>
      </c>
      <c r="B411" s="160" t="e">
        <f>#REF!</f>
        <v>#REF!</v>
      </c>
      <c r="C411" s="161"/>
      <c r="D411" s="162"/>
      <c r="E411" s="192"/>
      <c r="F411" s="163"/>
      <c r="H411" s="12">
        <v>407</v>
      </c>
    </row>
    <row r="412" spans="1:8" s="5" customFormat="1">
      <c r="A412" s="159" t="e">
        <f>#REF!</f>
        <v>#REF!</v>
      </c>
      <c r="B412" s="160" t="e">
        <f>#REF!</f>
        <v>#REF!</v>
      </c>
      <c r="C412" s="161"/>
      <c r="D412" s="162"/>
      <c r="E412" s="192"/>
      <c r="F412" s="163"/>
      <c r="H412" s="12">
        <v>408</v>
      </c>
    </row>
    <row r="413" spans="1:8" s="5" customFormat="1">
      <c r="A413" s="159" t="e">
        <f>#REF!</f>
        <v>#REF!</v>
      </c>
      <c r="B413" s="160" t="e">
        <f>#REF!</f>
        <v>#REF!</v>
      </c>
      <c r="C413" s="161"/>
      <c r="D413" s="162"/>
      <c r="E413" s="192"/>
      <c r="F413" s="163"/>
      <c r="H413" s="12">
        <v>409</v>
      </c>
    </row>
    <row r="414" spans="1:8" s="5" customFormat="1">
      <c r="A414" s="159" t="e">
        <f>#REF!</f>
        <v>#REF!</v>
      </c>
      <c r="B414" s="160" t="e">
        <f>#REF!</f>
        <v>#REF!</v>
      </c>
      <c r="C414" s="161"/>
      <c r="D414" s="162"/>
      <c r="E414" s="192"/>
      <c r="F414" s="163"/>
      <c r="H414" s="12">
        <v>410</v>
      </c>
    </row>
    <row r="415" spans="1:8" s="5" customFormat="1">
      <c r="A415" s="159" t="e">
        <f>#REF!</f>
        <v>#REF!</v>
      </c>
      <c r="B415" s="160" t="e">
        <f>#REF!</f>
        <v>#REF!</v>
      </c>
      <c r="C415" s="161"/>
      <c r="D415" s="162"/>
      <c r="E415" s="192"/>
      <c r="F415" s="163"/>
      <c r="H415" s="12">
        <v>411</v>
      </c>
    </row>
    <row r="416" spans="1:8" s="5" customFormat="1">
      <c r="A416" s="159" t="e">
        <f>#REF!</f>
        <v>#REF!</v>
      </c>
      <c r="B416" s="160" t="e">
        <f>#REF!</f>
        <v>#REF!</v>
      </c>
      <c r="C416" s="161"/>
      <c r="D416" s="162"/>
      <c r="E416" s="192"/>
      <c r="F416" s="163"/>
      <c r="H416" s="12">
        <v>412</v>
      </c>
    </row>
    <row r="417" spans="1:8" s="5" customFormat="1">
      <c r="A417" s="159" t="e">
        <f>#REF!</f>
        <v>#REF!</v>
      </c>
      <c r="B417" s="160" t="e">
        <f>#REF!</f>
        <v>#REF!</v>
      </c>
      <c r="C417" s="161"/>
      <c r="D417" s="162"/>
      <c r="E417" s="192"/>
      <c r="F417" s="163"/>
      <c r="H417" s="12">
        <v>413</v>
      </c>
    </row>
    <row r="418" spans="1:8" s="5" customFormat="1">
      <c r="A418" s="159" t="e">
        <f>#REF!</f>
        <v>#REF!</v>
      </c>
      <c r="B418" s="160" t="e">
        <f>#REF!</f>
        <v>#REF!</v>
      </c>
      <c r="C418" s="161"/>
      <c r="D418" s="162"/>
      <c r="E418" s="192"/>
      <c r="F418" s="163"/>
      <c r="H418" s="12">
        <v>414</v>
      </c>
    </row>
    <row r="419" spans="1:8" s="5" customFormat="1">
      <c r="A419" s="159" t="e">
        <f>#REF!</f>
        <v>#REF!</v>
      </c>
      <c r="B419" s="160" t="e">
        <f>#REF!</f>
        <v>#REF!</v>
      </c>
      <c r="C419" s="161"/>
      <c r="D419" s="162"/>
      <c r="E419" s="192"/>
      <c r="F419" s="163"/>
      <c r="H419" s="12">
        <v>415</v>
      </c>
    </row>
    <row r="420" spans="1:8" s="5" customFormat="1">
      <c r="A420" s="159" t="e">
        <f>#REF!</f>
        <v>#REF!</v>
      </c>
      <c r="B420" s="160" t="e">
        <f>#REF!</f>
        <v>#REF!</v>
      </c>
      <c r="C420" s="161"/>
      <c r="D420" s="162"/>
      <c r="E420" s="192"/>
      <c r="F420" s="163"/>
      <c r="H420" s="12">
        <v>416</v>
      </c>
    </row>
    <row r="421" spans="1:8" s="5" customFormat="1">
      <c r="A421" s="175" t="e">
        <f>#REF!</f>
        <v>#REF!</v>
      </c>
      <c r="B421" s="176" t="e">
        <f>#REF!</f>
        <v>#REF!</v>
      </c>
      <c r="C421" s="169"/>
      <c r="D421" s="171"/>
      <c r="E421" s="193"/>
      <c r="F421" s="188"/>
      <c r="H421" s="12">
        <v>417</v>
      </c>
    </row>
    <row r="422" spans="1:8" s="46" customFormat="1">
      <c r="A422" s="154" t="e">
        <f>#REF!</f>
        <v>#REF!</v>
      </c>
      <c r="B422" s="155" t="e">
        <f>#REF!</f>
        <v>#REF!</v>
      </c>
      <c r="C422" s="156"/>
      <c r="D422" s="191"/>
      <c r="E422" s="190"/>
      <c r="F422" s="158"/>
      <c r="H422" s="12">
        <v>418</v>
      </c>
    </row>
    <row r="423" spans="1:8" s="5" customFormat="1">
      <c r="A423" s="159" t="e">
        <f>#REF!</f>
        <v>#REF!</v>
      </c>
      <c r="B423" s="160" t="e">
        <f>#REF!</f>
        <v>#REF!</v>
      </c>
      <c r="C423" s="161"/>
      <c r="D423" s="162"/>
      <c r="E423" s="192"/>
      <c r="F423" s="163"/>
      <c r="H423" s="12">
        <v>419</v>
      </c>
    </row>
    <row r="424" spans="1:8" s="5" customFormat="1">
      <c r="A424" s="159" t="e">
        <f>#REF!</f>
        <v>#REF!</v>
      </c>
      <c r="B424" s="160" t="e">
        <f>#REF!</f>
        <v>#REF!</v>
      </c>
      <c r="C424" s="161"/>
      <c r="D424" s="162"/>
      <c r="E424" s="192"/>
      <c r="F424" s="163"/>
      <c r="H424" s="12">
        <v>420</v>
      </c>
    </row>
    <row r="425" spans="1:8" s="5" customFormat="1">
      <c r="A425" s="159" t="e">
        <f>#REF!</f>
        <v>#REF!</v>
      </c>
      <c r="B425" s="160" t="e">
        <f>#REF!</f>
        <v>#REF!</v>
      </c>
      <c r="C425" s="161"/>
      <c r="D425" s="162"/>
      <c r="E425" s="192"/>
      <c r="F425" s="163"/>
      <c r="H425" s="12">
        <v>421</v>
      </c>
    </row>
    <row r="426" spans="1:8" s="5" customFormat="1">
      <c r="A426" s="159" t="e">
        <f>#REF!</f>
        <v>#REF!</v>
      </c>
      <c r="B426" s="160" t="e">
        <f>#REF!</f>
        <v>#REF!</v>
      </c>
      <c r="C426" s="161"/>
      <c r="D426" s="162"/>
      <c r="E426" s="192"/>
      <c r="F426" s="163"/>
      <c r="H426" s="12">
        <v>422</v>
      </c>
    </row>
    <row r="427" spans="1:8" s="5" customFormat="1">
      <c r="A427" s="159" t="e">
        <f>#REF!</f>
        <v>#REF!</v>
      </c>
      <c r="B427" s="160" t="e">
        <f>#REF!</f>
        <v>#REF!</v>
      </c>
      <c r="C427" s="161"/>
      <c r="D427" s="162"/>
      <c r="E427" s="192"/>
      <c r="F427" s="163"/>
      <c r="H427" s="12">
        <v>423</v>
      </c>
    </row>
    <row r="428" spans="1:8" s="5" customFormat="1">
      <c r="A428" s="159" t="e">
        <f>#REF!</f>
        <v>#REF!</v>
      </c>
      <c r="B428" s="160" t="e">
        <f>#REF!</f>
        <v>#REF!</v>
      </c>
      <c r="C428" s="161"/>
      <c r="D428" s="162"/>
      <c r="E428" s="192"/>
      <c r="F428" s="163"/>
      <c r="H428" s="12">
        <v>424</v>
      </c>
    </row>
    <row r="429" spans="1:8" s="5" customFormat="1">
      <c r="A429" s="159" t="e">
        <f>#REF!</f>
        <v>#REF!</v>
      </c>
      <c r="B429" s="160" t="e">
        <f>#REF!</f>
        <v>#REF!</v>
      </c>
      <c r="C429" s="161"/>
      <c r="D429" s="162"/>
      <c r="E429" s="192"/>
      <c r="F429" s="163"/>
      <c r="H429" s="12">
        <v>425</v>
      </c>
    </row>
    <row r="430" spans="1:8" s="5" customFormat="1">
      <c r="A430" s="159" t="e">
        <f>#REF!</f>
        <v>#REF!</v>
      </c>
      <c r="B430" s="160" t="e">
        <f>#REF!</f>
        <v>#REF!</v>
      </c>
      <c r="C430" s="161"/>
      <c r="D430" s="162"/>
      <c r="E430" s="192"/>
      <c r="F430" s="163"/>
      <c r="H430" s="12">
        <v>426</v>
      </c>
    </row>
    <row r="431" spans="1:8" s="5" customFormat="1">
      <c r="A431" s="159" t="e">
        <f>#REF!</f>
        <v>#REF!</v>
      </c>
      <c r="B431" s="160" t="e">
        <f>#REF!</f>
        <v>#REF!</v>
      </c>
      <c r="C431" s="161"/>
      <c r="D431" s="162"/>
      <c r="E431" s="192"/>
      <c r="F431" s="163"/>
      <c r="H431" s="12">
        <v>427</v>
      </c>
    </row>
    <row r="432" spans="1:8" s="5" customFormat="1">
      <c r="A432" s="159" t="e">
        <f>#REF!</f>
        <v>#REF!</v>
      </c>
      <c r="B432" s="160" t="e">
        <f>#REF!</f>
        <v>#REF!</v>
      </c>
      <c r="C432" s="161"/>
      <c r="D432" s="162"/>
      <c r="E432" s="192"/>
      <c r="F432" s="163"/>
      <c r="H432" s="12">
        <v>428</v>
      </c>
    </row>
    <row r="433" spans="1:8" s="5" customFormat="1">
      <c r="A433" s="175" t="e">
        <f>#REF!</f>
        <v>#REF!</v>
      </c>
      <c r="B433" s="176" t="e">
        <f>#REF!</f>
        <v>#REF!</v>
      </c>
      <c r="C433" s="169"/>
      <c r="D433" s="171"/>
      <c r="E433" s="193"/>
      <c r="F433" s="188"/>
      <c r="H433" s="12">
        <v>429</v>
      </c>
    </row>
    <row r="434" spans="1:8" s="46" customFormat="1">
      <c r="A434" s="154" t="e">
        <f>#REF!</f>
        <v>#REF!</v>
      </c>
      <c r="B434" s="155" t="e">
        <f>#REF!</f>
        <v>#REF!</v>
      </c>
      <c r="C434" s="156"/>
      <c r="D434" s="157"/>
      <c r="E434" s="190"/>
      <c r="F434" s="158"/>
      <c r="H434" s="12">
        <v>430</v>
      </c>
    </row>
    <row r="435" spans="1:8" s="46" customFormat="1">
      <c r="A435" s="154" t="e">
        <f>#REF!</f>
        <v>#REF!</v>
      </c>
      <c r="B435" s="155" t="e">
        <f>#REF!</f>
        <v>#REF!</v>
      </c>
      <c r="C435" s="156"/>
      <c r="D435" s="191"/>
      <c r="E435" s="190"/>
      <c r="F435" s="158"/>
      <c r="H435" s="12">
        <v>431</v>
      </c>
    </row>
    <row r="436" spans="1:8" s="5" customFormat="1">
      <c r="A436" s="159" t="e">
        <f>#REF!</f>
        <v>#REF!</v>
      </c>
      <c r="B436" s="160" t="e">
        <f>#REF!</f>
        <v>#REF!</v>
      </c>
      <c r="C436" s="161"/>
      <c r="D436" s="162"/>
      <c r="E436" s="192"/>
      <c r="F436" s="163"/>
      <c r="H436" s="12">
        <v>432</v>
      </c>
    </row>
    <row r="437" spans="1:8" s="5" customFormat="1">
      <c r="A437" s="159" t="e">
        <f>#REF!</f>
        <v>#REF!</v>
      </c>
      <c r="B437" s="160" t="e">
        <f>#REF!</f>
        <v>#REF!</v>
      </c>
      <c r="C437" s="161"/>
      <c r="D437" s="162"/>
      <c r="E437" s="192"/>
      <c r="F437" s="163"/>
      <c r="H437" s="12">
        <v>433</v>
      </c>
    </row>
    <row r="438" spans="1:8" s="16" customFormat="1">
      <c r="A438" s="48" t="e">
        <f>#REF!</f>
        <v>#REF!</v>
      </c>
      <c r="B438" s="49" t="e">
        <f>#REF!</f>
        <v>#REF!</v>
      </c>
      <c r="C438" s="50"/>
      <c r="D438" s="91"/>
      <c r="E438" s="65"/>
      <c r="F438" s="40"/>
      <c r="H438" s="12">
        <v>434</v>
      </c>
    </row>
    <row r="439" spans="1:8" s="46" customFormat="1">
      <c r="A439" s="44" t="e">
        <f>#REF!</f>
        <v>#REF!</v>
      </c>
      <c r="B439" s="45" t="e">
        <f>#REF!</f>
        <v>#REF!</v>
      </c>
      <c r="C439" s="20"/>
      <c r="D439" s="151">
        <f>Gia_VLieu!D$16</f>
        <v>1</v>
      </c>
      <c r="E439" s="63"/>
      <c r="F439" s="23">
        <f>SUM(F440:F450)*D439</f>
        <v>1333500</v>
      </c>
      <c r="H439" s="12">
        <v>435</v>
      </c>
    </row>
    <row r="440" spans="1:8" s="5" customFormat="1">
      <c r="A440" s="15">
        <v>1</v>
      </c>
      <c r="B440" s="7" t="s">
        <v>77</v>
      </c>
      <c r="C440" s="8" t="str">
        <f>Gia_VLieu!C4</f>
        <v>gram</v>
      </c>
      <c r="D440" s="86">
        <f>Gia_VLieu!D4</f>
        <v>45000</v>
      </c>
      <c r="E440" s="72">
        <v>4</v>
      </c>
      <c r="F440" s="21">
        <f t="shared" ref="F440:F450" si="29">D440*E440</f>
        <v>180000</v>
      </c>
      <c r="H440" s="12">
        <v>436</v>
      </c>
    </row>
    <row r="441" spans="1:8" s="5" customFormat="1">
      <c r="A441" s="15">
        <v>2</v>
      </c>
      <c r="B441" s="7" t="s">
        <v>78</v>
      </c>
      <c r="C441" s="8" t="str">
        <f>Gia_VLieu!C5</f>
        <v>hộp</v>
      </c>
      <c r="D441" s="86">
        <f>Gia_VLieu!D5</f>
        <v>1450000</v>
      </c>
      <c r="E441" s="72">
        <v>0.3</v>
      </c>
      <c r="F441" s="21">
        <f t="shared" si="29"/>
        <v>435000</v>
      </c>
      <c r="H441" s="12">
        <v>437</v>
      </c>
    </row>
    <row r="442" spans="1:8" s="5" customFormat="1">
      <c r="A442" s="15">
        <v>3</v>
      </c>
      <c r="B442" s="7" t="s">
        <v>79</v>
      </c>
      <c r="C442" s="8" t="str">
        <f>Gia_VLieu!C6</f>
        <v>hộp</v>
      </c>
      <c r="D442" s="86">
        <f>Gia_VLieu!D6</f>
        <v>250000</v>
      </c>
      <c r="E442" s="72">
        <v>0.2</v>
      </c>
      <c r="F442" s="21">
        <f t="shared" si="29"/>
        <v>50000</v>
      </c>
      <c r="H442" s="12">
        <v>438</v>
      </c>
    </row>
    <row r="443" spans="1:8" s="5" customFormat="1">
      <c r="A443" s="15">
        <v>4</v>
      </c>
      <c r="B443" s="7" t="s">
        <v>80</v>
      </c>
      <c r="C443" s="8" t="str">
        <f>Gia_VLieu!C7</f>
        <v>quyển</v>
      </c>
      <c r="D443" s="86">
        <f>Gia_VLieu!D7</f>
        <v>10000</v>
      </c>
      <c r="E443" s="72">
        <v>15</v>
      </c>
      <c r="F443" s="21">
        <f t="shared" si="29"/>
        <v>150000</v>
      </c>
      <c r="H443" s="12">
        <v>439</v>
      </c>
    </row>
    <row r="444" spans="1:8" s="5" customFormat="1">
      <c r="A444" s="15">
        <v>5</v>
      </c>
      <c r="B444" s="7" t="s">
        <v>21</v>
      </c>
      <c r="C444" s="8" t="str">
        <f>Gia_VLieu!C8</f>
        <v>cái</v>
      </c>
      <c r="D444" s="86">
        <f>Gia_VLieu!D8</f>
        <v>2000</v>
      </c>
      <c r="E444" s="72">
        <v>30</v>
      </c>
      <c r="F444" s="21">
        <f t="shared" si="29"/>
        <v>60000</v>
      </c>
      <c r="H444" s="12">
        <v>440</v>
      </c>
    </row>
    <row r="445" spans="1:8" s="5" customFormat="1">
      <c r="A445" s="15">
        <v>6</v>
      </c>
      <c r="B445" s="7" t="s">
        <v>82</v>
      </c>
      <c r="C445" s="8" t="str">
        <f>Gia_VLieu!C9</f>
        <v>cái</v>
      </c>
      <c r="D445" s="86">
        <f>Gia_VLieu!D9</f>
        <v>8000</v>
      </c>
      <c r="E445" s="72">
        <v>10</v>
      </c>
      <c r="F445" s="21">
        <f t="shared" si="29"/>
        <v>80000</v>
      </c>
      <c r="H445" s="12">
        <v>441</v>
      </c>
    </row>
    <row r="446" spans="1:8" s="5" customFormat="1">
      <c r="A446" s="15">
        <v>7</v>
      </c>
      <c r="B446" s="7" t="s">
        <v>83</v>
      </c>
      <c r="C446" s="8" t="str">
        <f>Gia_VLieu!C10</f>
        <v>cái</v>
      </c>
      <c r="D446" s="86">
        <f>Gia_VLieu!D10</f>
        <v>10000</v>
      </c>
      <c r="E446" s="72">
        <v>10</v>
      </c>
      <c r="F446" s="21">
        <f t="shared" si="29"/>
        <v>100000</v>
      </c>
      <c r="H446" s="12">
        <v>442</v>
      </c>
    </row>
    <row r="447" spans="1:8" s="5" customFormat="1">
      <c r="A447" s="15">
        <v>8</v>
      </c>
      <c r="B447" s="7" t="s">
        <v>84</v>
      </c>
      <c r="C447" s="8" t="str">
        <f>Gia_VLieu!C11</f>
        <v>hộp</v>
      </c>
      <c r="D447" s="86">
        <f>Gia_VLieu!D11</f>
        <v>2500</v>
      </c>
      <c r="E447" s="72">
        <v>5</v>
      </c>
      <c r="F447" s="21">
        <f t="shared" si="29"/>
        <v>12500</v>
      </c>
      <c r="H447" s="12">
        <v>443</v>
      </c>
    </row>
    <row r="448" spans="1:8" s="5" customFormat="1">
      <c r="A448" s="15">
        <v>9</v>
      </c>
      <c r="B448" s="7" t="s">
        <v>85</v>
      </c>
      <c r="C448" s="8" t="str">
        <f>Gia_VLieu!C12</f>
        <v>hộp</v>
      </c>
      <c r="D448" s="86">
        <f>Gia_VLieu!D12</f>
        <v>2000</v>
      </c>
      <c r="E448" s="72">
        <v>4</v>
      </c>
      <c r="F448" s="21">
        <f t="shared" si="29"/>
        <v>8000</v>
      </c>
      <c r="H448" s="12">
        <v>444</v>
      </c>
    </row>
    <row r="449" spans="1:8" s="5" customFormat="1">
      <c r="A449" s="15">
        <v>10</v>
      </c>
      <c r="B449" s="7" t="s">
        <v>86</v>
      </c>
      <c r="C449" s="8" t="str">
        <f>Gia_VLieu!C13</f>
        <v>tập</v>
      </c>
      <c r="D449" s="86">
        <f>Gia_VLieu!D13</f>
        <v>8000</v>
      </c>
      <c r="E449" s="72">
        <v>6</v>
      </c>
      <c r="F449" s="21">
        <f t="shared" si="29"/>
        <v>48000</v>
      </c>
      <c r="H449" s="12">
        <v>445</v>
      </c>
    </row>
    <row r="450" spans="1:8" s="5" customFormat="1">
      <c r="A450" s="57">
        <v>11</v>
      </c>
      <c r="B450" s="58" t="s">
        <v>87</v>
      </c>
      <c r="C450" s="59" t="str">
        <f>Gia_VLieu!C14</f>
        <v>cái</v>
      </c>
      <c r="D450" s="87">
        <f>Gia_VLieu!D14</f>
        <v>15000</v>
      </c>
      <c r="E450" s="73">
        <v>14</v>
      </c>
      <c r="F450" s="55">
        <f t="shared" si="29"/>
        <v>210000</v>
      </c>
      <c r="H450" s="12">
        <v>446</v>
      </c>
    </row>
    <row r="451" spans="1:8" s="46" customFormat="1">
      <c r="A451" s="44" t="e">
        <f>#REF!</f>
        <v>#REF!</v>
      </c>
      <c r="B451" s="45" t="e">
        <f>#REF!</f>
        <v>#REF!</v>
      </c>
      <c r="C451" s="20"/>
      <c r="D451" s="151">
        <f>Gia_VLieu!D$16</f>
        <v>1</v>
      </c>
      <c r="E451" s="63"/>
      <c r="F451" s="23">
        <f>SUM(F452:F462)*D451</f>
        <v>1538000</v>
      </c>
      <c r="H451" s="12">
        <v>447</v>
      </c>
    </row>
    <row r="452" spans="1:8" s="5" customFormat="1">
      <c r="A452" s="15">
        <v>1</v>
      </c>
      <c r="B452" s="7" t="s">
        <v>77</v>
      </c>
      <c r="C452" s="8" t="str">
        <f>Gia_VLieu!C4</f>
        <v>gram</v>
      </c>
      <c r="D452" s="86">
        <f>Gia_VLieu!D4</f>
        <v>45000</v>
      </c>
      <c r="E452" s="72">
        <v>5</v>
      </c>
      <c r="F452" s="21">
        <f t="shared" ref="F452:F462" si="30">D452*E452</f>
        <v>225000</v>
      </c>
      <c r="H452" s="12">
        <v>448</v>
      </c>
    </row>
    <row r="453" spans="1:8" s="5" customFormat="1">
      <c r="A453" s="15">
        <v>2</v>
      </c>
      <c r="B453" s="7" t="s">
        <v>78</v>
      </c>
      <c r="C453" s="8" t="str">
        <f>Gia_VLieu!C5</f>
        <v>hộp</v>
      </c>
      <c r="D453" s="86">
        <f>Gia_VLieu!D5</f>
        <v>1450000</v>
      </c>
      <c r="E453" s="72">
        <v>0.4</v>
      </c>
      <c r="F453" s="21">
        <f t="shared" si="30"/>
        <v>580000</v>
      </c>
      <c r="H453" s="12">
        <v>449</v>
      </c>
    </row>
    <row r="454" spans="1:8" s="5" customFormat="1">
      <c r="A454" s="15">
        <v>3</v>
      </c>
      <c r="B454" s="7" t="s">
        <v>79</v>
      </c>
      <c r="C454" s="8" t="str">
        <f>Gia_VLieu!C6</f>
        <v>hộp</v>
      </c>
      <c r="D454" s="86">
        <f>Gia_VLieu!D6</f>
        <v>250000</v>
      </c>
      <c r="E454" s="72">
        <v>0.3</v>
      </c>
      <c r="F454" s="21">
        <f t="shared" si="30"/>
        <v>75000</v>
      </c>
      <c r="H454" s="12">
        <v>450</v>
      </c>
    </row>
    <row r="455" spans="1:8" s="5" customFormat="1">
      <c r="A455" s="15">
        <v>4</v>
      </c>
      <c r="B455" s="7" t="s">
        <v>80</v>
      </c>
      <c r="C455" s="8" t="str">
        <f>Gia_VLieu!C7</f>
        <v>quyển</v>
      </c>
      <c r="D455" s="86">
        <f>Gia_VLieu!D7</f>
        <v>10000</v>
      </c>
      <c r="E455" s="72">
        <v>15</v>
      </c>
      <c r="F455" s="21">
        <f t="shared" si="30"/>
        <v>150000</v>
      </c>
      <c r="H455" s="12">
        <v>451</v>
      </c>
    </row>
    <row r="456" spans="1:8" s="5" customFormat="1">
      <c r="A456" s="15">
        <v>5</v>
      </c>
      <c r="B456" s="7" t="s">
        <v>21</v>
      </c>
      <c r="C456" s="8" t="str">
        <f>Gia_VLieu!C8</f>
        <v>cái</v>
      </c>
      <c r="D456" s="86">
        <f>Gia_VLieu!D8</f>
        <v>2000</v>
      </c>
      <c r="E456" s="72">
        <v>30</v>
      </c>
      <c r="F456" s="21">
        <f t="shared" si="30"/>
        <v>60000</v>
      </c>
      <c r="H456" s="12">
        <v>452</v>
      </c>
    </row>
    <row r="457" spans="1:8" s="5" customFormat="1">
      <c r="A457" s="15">
        <v>6</v>
      </c>
      <c r="B457" s="7" t="s">
        <v>82</v>
      </c>
      <c r="C457" s="8" t="str">
        <f>Gia_VLieu!C9</f>
        <v>cái</v>
      </c>
      <c r="D457" s="86">
        <f>Gia_VLieu!D9</f>
        <v>8000</v>
      </c>
      <c r="E457" s="72">
        <v>9</v>
      </c>
      <c r="F457" s="21">
        <f t="shared" si="30"/>
        <v>72000</v>
      </c>
      <c r="H457" s="12">
        <v>453</v>
      </c>
    </row>
    <row r="458" spans="1:8" s="5" customFormat="1">
      <c r="A458" s="15">
        <v>7</v>
      </c>
      <c r="B458" s="7" t="s">
        <v>83</v>
      </c>
      <c r="C458" s="8" t="str">
        <f>Gia_VLieu!C10</f>
        <v>cái</v>
      </c>
      <c r="D458" s="86">
        <f>Gia_VLieu!D10</f>
        <v>10000</v>
      </c>
      <c r="E458" s="72">
        <v>9</v>
      </c>
      <c r="F458" s="21">
        <f t="shared" si="30"/>
        <v>90000</v>
      </c>
      <c r="H458" s="12">
        <v>454</v>
      </c>
    </row>
    <row r="459" spans="1:8" s="5" customFormat="1">
      <c r="A459" s="15">
        <v>8</v>
      </c>
      <c r="B459" s="7" t="s">
        <v>84</v>
      </c>
      <c r="C459" s="8" t="str">
        <f>Gia_VLieu!C11</f>
        <v>hộp</v>
      </c>
      <c r="D459" s="86">
        <f>Gia_VLieu!D11</f>
        <v>2500</v>
      </c>
      <c r="E459" s="72">
        <v>6</v>
      </c>
      <c r="F459" s="21">
        <f t="shared" si="30"/>
        <v>15000</v>
      </c>
      <c r="H459" s="12">
        <v>455</v>
      </c>
    </row>
    <row r="460" spans="1:8" s="5" customFormat="1">
      <c r="A460" s="15">
        <v>9</v>
      </c>
      <c r="B460" s="7" t="s">
        <v>85</v>
      </c>
      <c r="C460" s="8" t="str">
        <f>Gia_VLieu!C12</f>
        <v>hộp</v>
      </c>
      <c r="D460" s="86">
        <f>Gia_VLieu!D12</f>
        <v>2000</v>
      </c>
      <c r="E460" s="72">
        <v>3</v>
      </c>
      <c r="F460" s="21">
        <f t="shared" si="30"/>
        <v>6000</v>
      </c>
      <c r="H460" s="12">
        <v>456</v>
      </c>
    </row>
    <row r="461" spans="1:8" s="5" customFormat="1">
      <c r="A461" s="15">
        <v>10</v>
      </c>
      <c r="B461" s="7" t="s">
        <v>86</v>
      </c>
      <c r="C461" s="8" t="str">
        <f>Gia_VLieu!C13</f>
        <v>tập</v>
      </c>
      <c r="D461" s="86">
        <f>Gia_VLieu!D13</f>
        <v>8000</v>
      </c>
      <c r="E461" s="72">
        <v>5</v>
      </c>
      <c r="F461" s="21">
        <f t="shared" si="30"/>
        <v>40000</v>
      </c>
      <c r="H461" s="12">
        <v>457</v>
      </c>
    </row>
    <row r="462" spans="1:8" s="5" customFormat="1">
      <c r="A462" s="57">
        <v>11</v>
      </c>
      <c r="B462" s="58" t="s">
        <v>87</v>
      </c>
      <c r="C462" s="59" t="str">
        <f>Gia_VLieu!C14</f>
        <v>cái</v>
      </c>
      <c r="D462" s="87">
        <f>Gia_VLieu!D14</f>
        <v>15000</v>
      </c>
      <c r="E462" s="73">
        <v>15</v>
      </c>
      <c r="F462" s="55">
        <f t="shared" si="30"/>
        <v>225000</v>
      </c>
      <c r="H462" s="12">
        <v>458</v>
      </c>
    </row>
    <row r="463" spans="1:8" s="16" customFormat="1">
      <c r="A463" s="14" t="e">
        <f>#REF!</f>
        <v>#REF!</v>
      </c>
      <c r="B463" s="10" t="e">
        <f>#REF!</f>
        <v>#REF!</v>
      </c>
      <c r="C463" s="9"/>
      <c r="D463" s="92"/>
      <c r="E463" s="66"/>
      <c r="F463" s="22"/>
      <c r="H463" s="12">
        <v>459</v>
      </c>
    </row>
    <row r="464" spans="1:8" s="46" customFormat="1">
      <c r="A464" s="44" t="e">
        <f>#REF!</f>
        <v>#REF!</v>
      </c>
      <c r="B464" s="45" t="e">
        <f>#REF!</f>
        <v>#REF!</v>
      </c>
      <c r="C464" s="20"/>
      <c r="D464" s="90"/>
      <c r="E464" s="63"/>
      <c r="F464" s="23">
        <f>F466</f>
        <v>1846.5</v>
      </c>
      <c r="H464" s="12">
        <v>460</v>
      </c>
    </row>
    <row r="465" spans="1:8" s="5" customFormat="1">
      <c r="A465" s="15" t="e">
        <f>#REF!</f>
        <v>#REF!</v>
      </c>
      <c r="B465" s="7" t="e">
        <f>#REF!</f>
        <v>#REF!</v>
      </c>
      <c r="C465" s="8"/>
      <c r="D465" s="86"/>
      <c r="E465" s="43"/>
      <c r="F465" s="21">
        <f>F466</f>
        <v>1846.5</v>
      </c>
      <c r="H465" s="12">
        <v>461</v>
      </c>
    </row>
    <row r="466" spans="1:8" s="5" customFormat="1">
      <c r="A466" s="15" t="e">
        <f>#REF!</f>
        <v>#REF!</v>
      </c>
      <c r="B466" s="7" t="e">
        <f>#REF!</f>
        <v>#REF!</v>
      </c>
      <c r="C466" s="8"/>
      <c r="D466" s="151">
        <f>Gia_VLieu!D$16</f>
        <v>1</v>
      </c>
      <c r="E466" s="63"/>
      <c r="F466" s="23">
        <f>SUM(F467:F477)*D466</f>
        <v>1846.5</v>
      </c>
      <c r="H466" s="12">
        <v>462</v>
      </c>
    </row>
    <row r="467" spans="1:8" s="5" customFormat="1">
      <c r="A467" s="15">
        <v>1</v>
      </c>
      <c r="B467" s="7" t="s">
        <v>77</v>
      </c>
      <c r="C467" s="8" t="str">
        <f>Gia_VLieu!C4</f>
        <v>gram</v>
      </c>
      <c r="D467" s="86">
        <f>Gia_VLieu!D4</f>
        <v>45000</v>
      </c>
      <c r="E467" s="72">
        <v>1E-3</v>
      </c>
      <c r="F467" s="21">
        <f>D467*E467</f>
        <v>45</v>
      </c>
      <c r="H467" s="12">
        <v>463</v>
      </c>
    </row>
    <row r="468" spans="1:8" s="5" customFormat="1">
      <c r="A468" s="15">
        <v>2</v>
      </c>
      <c r="B468" s="7" t="s">
        <v>78</v>
      </c>
      <c r="C468" s="8" t="str">
        <f>Gia_VLieu!C5</f>
        <v>hộp</v>
      </c>
      <c r="D468" s="86">
        <f>Gia_VLieu!D5</f>
        <v>1450000</v>
      </c>
      <c r="E468" s="72">
        <v>1E-3</v>
      </c>
      <c r="F468" s="21">
        <f t="shared" ref="F468:F476" si="31">D468*E468</f>
        <v>1450</v>
      </c>
      <c r="H468" s="12">
        <v>464</v>
      </c>
    </row>
    <row r="469" spans="1:8" s="5" customFormat="1">
      <c r="A469" s="15">
        <v>3</v>
      </c>
      <c r="B469" s="7" t="s">
        <v>79</v>
      </c>
      <c r="C469" s="8" t="str">
        <f>Gia_VLieu!C6</f>
        <v>hộp</v>
      </c>
      <c r="D469" s="86">
        <f>Gia_VLieu!D6</f>
        <v>250000</v>
      </c>
      <c r="E469" s="72">
        <v>1E-3</v>
      </c>
      <c r="F469" s="21">
        <f t="shared" si="31"/>
        <v>250</v>
      </c>
      <c r="H469" s="12">
        <v>465</v>
      </c>
    </row>
    <row r="470" spans="1:8" s="5" customFormat="1">
      <c r="A470" s="15">
        <v>4</v>
      </c>
      <c r="B470" s="7" t="s">
        <v>80</v>
      </c>
      <c r="C470" s="8" t="str">
        <f>Gia_VLieu!C7</f>
        <v>quyển</v>
      </c>
      <c r="D470" s="86">
        <f>Gia_VLieu!D7</f>
        <v>10000</v>
      </c>
      <c r="E470" s="72">
        <v>2E-3</v>
      </c>
      <c r="F470" s="21">
        <f t="shared" si="31"/>
        <v>20</v>
      </c>
      <c r="H470" s="12">
        <v>466</v>
      </c>
    </row>
    <row r="471" spans="1:8" s="5" customFormat="1">
      <c r="A471" s="15">
        <v>5</v>
      </c>
      <c r="B471" s="7" t="s">
        <v>21</v>
      </c>
      <c r="C471" s="8" t="str">
        <f>Gia_VLieu!C8</f>
        <v>cái</v>
      </c>
      <c r="D471" s="86">
        <f>Gia_VLieu!D8</f>
        <v>2000</v>
      </c>
      <c r="E471" s="72">
        <v>0.01</v>
      </c>
      <c r="F471" s="21">
        <f t="shared" si="31"/>
        <v>20</v>
      </c>
      <c r="H471" s="12">
        <v>467</v>
      </c>
    </row>
    <row r="472" spans="1:8" s="5" customFormat="1">
      <c r="A472" s="15">
        <v>6</v>
      </c>
      <c r="B472" s="7" t="s">
        <v>82</v>
      </c>
      <c r="C472" s="8" t="str">
        <f>Gia_VLieu!C9</f>
        <v>cái</v>
      </c>
      <c r="D472" s="86">
        <f>Gia_VLieu!D9</f>
        <v>8000</v>
      </c>
      <c r="E472" s="72">
        <v>1E-3</v>
      </c>
      <c r="F472" s="21">
        <f t="shared" si="31"/>
        <v>8</v>
      </c>
      <c r="H472" s="12">
        <v>468</v>
      </c>
    </row>
    <row r="473" spans="1:8" s="5" customFormat="1">
      <c r="A473" s="15">
        <v>7</v>
      </c>
      <c r="B473" s="7" t="s">
        <v>83</v>
      </c>
      <c r="C473" s="8" t="str">
        <f>Gia_VLieu!C10</f>
        <v>cái</v>
      </c>
      <c r="D473" s="86">
        <f>Gia_VLieu!D10</f>
        <v>10000</v>
      </c>
      <c r="E473" s="72">
        <v>1E-3</v>
      </c>
      <c r="F473" s="21">
        <f t="shared" si="31"/>
        <v>10</v>
      </c>
      <c r="H473" s="12">
        <v>469</v>
      </c>
    </row>
    <row r="474" spans="1:8" s="5" customFormat="1">
      <c r="A474" s="15">
        <v>8</v>
      </c>
      <c r="B474" s="7" t="s">
        <v>84</v>
      </c>
      <c r="C474" s="8" t="str">
        <f>Gia_VLieu!C11</f>
        <v>hộp</v>
      </c>
      <c r="D474" s="86">
        <f>Gia_VLieu!D11</f>
        <v>2500</v>
      </c>
      <c r="E474" s="72">
        <v>1E-3</v>
      </c>
      <c r="F474" s="21">
        <f t="shared" si="31"/>
        <v>2.5</v>
      </c>
      <c r="H474" s="12">
        <v>470</v>
      </c>
    </row>
    <row r="475" spans="1:8" s="5" customFormat="1">
      <c r="A475" s="15">
        <v>9</v>
      </c>
      <c r="B475" s="7" t="s">
        <v>85</v>
      </c>
      <c r="C475" s="8" t="str">
        <f>Gia_VLieu!C12</f>
        <v>hộp</v>
      </c>
      <c r="D475" s="86">
        <f>Gia_VLieu!D12</f>
        <v>2000</v>
      </c>
      <c r="E475" s="72">
        <v>1E-3</v>
      </c>
      <c r="F475" s="21">
        <f t="shared" si="31"/>
        <v>2</v>
      </c>
      <c r="H475" s="12">
        <v>471</v>
      </c>
    </row>
    <row r="476" spans="1:8" s="5" customFormat="1">
      <c r="A476" s="15">
        <v>10</v>
      </c>
      <c r="B476" s="7" t="s">
        <v>86</v>
      </c>
      <c r="C476" s="8" t="str">
        <f>Gia_VLieu!C13</f>
        <v>tập</v>
      </c>
      <c r="D476" s="86">
        <f>Gia_VLieu!D13</f>
        <v>8000</v>
      </c>
      <c r="E476" s="72">
        <v>3.0000000000000001E-3</v>
      </c>
      <c r="F476" s="21">
        <f t="shared" si="31"/>
        <v>24</v>
      </c>
      <c r="H476" s="12">
        <v>472</v>
      </c>
    </row>
    <row r="477" spans="1:8" s="5" customFormat="1">
      <c r="A477" s="57">
        <v>11</v>
      </c>
      <c r="B477" s="58" t="s">
        <v>87</v>
      </c>
      <c r="C477" s="59" t="str">
        <f>Gia_VLieu!C14</f>
        <v>cái</v>
      </c>
      <c r="D477" s="87">
        <f>Gia_VLieu!D14</f>
        <v>15000</v>
      </c>
      <c r="E477" s="73">
        <v>1E-3</v>
      </c>
      <c r="F477" s="55">
        <f>D477*E477</f>
        <v>15</v>
      </c>
      <c r="H477" s="12">
        <v>473</v>
      </c>
    </row>
    <row r="478" spans="1:8" s="46" customFormat="1">
      <c r="A478" s="44" t="e">
        <f>#REF!</f>
        <v>#REF!</v>
      </c>
      <c r="B478" s="45" t="e">
        <f>#REF!</f>
        <v>#REF!</v>
      </c>
      <c r="C478" s="20"/>
      <c r="D478" s="151">
        <f>Gia_VLieu!D$16</f>
        <v>1</v>
      </c>
      <c r="E478" s="63"/>
      <c r="F478" s="23">
        <f>SUM(F479:F489)*D478</f>
        <v>1846.5</v>
      </c>
      <c r="H478" s="12">
        <v>474</v>
      </c>
    </row>
    <row r="479" spans="1:8" s="5" customFormat="1">
      <c r="A479" s="15">
        <v>1</v>
      </c>
      <c r="B479" s="7" t="s">
        <v>77</v>
      </c>
      <c r="C479" s="8" t="str">
        <f>Gia_VLieu!C4</f>
        <v>gram</v>
      </c>
      <c r="D479" s="86">
        <f>Gia_VLieu!D4</f>
        <v>45000</v>
      </c>
      <c r="E479" s="72">
        <v>1E-3</v>
      </c>
      <c r="F479" s="21">
        <f>D479*E479</f>
        <v>45</v>
      </c>
      <c r="H479" s="12">
        <v>475</v>
      </c>
    </row>
    <row r="480" spans="1:8" s="5" customFormat="1">
      <c r="A480" s="15">
        <v>2</v>
      </c>
      <c r="B480" s="7" t="s">
        <v>78</v>
      </c>
      <c r="C480" s="8" t="str">
        <f>Gia_VLieu!C5</f>
        <v>hộp</v>
      </c>
      <c r="D480" s="86">
        <f>Gia_VLieu!D5</f>
        <v>1450000</v>
      </c>
      <c r="E480" s="72">
        <v>1E-3</v>
      </c>
      <c r="F480" s="21">
        <f t="shared" ref="F480:F488" si="32">D480*E480</f>
        <v>1450</v>
      </c>
      <c r="H480" s="12">
        <v>476</v>
      </c>
    </row>
    <row r="481" spans="1:8" s="5" customFormat="1">
      <c r="A481" s="15">
        <v>3</v>
      </c>
      <c r="B481" s="7" t="s">
        <v>79</v>
      </c>
      <c r="C481" s="8" t="str">
        <f>Gia_VLieu!C6</f>
        <v>hộp</v>
      </c>
      <c r="D481" s="86">
        <f>Gia_VLieu!D6</f>
        <v>250000</v>
      </c>
      <c r="E481" s="72">
        <v>1E-3</v>
      </c>
      <c r="F481" s="21">
        <f t="shared" si="32"/>
        <v>250</v>
      </c>
      <c r="H481" s="12">
        <v>477</v>
      </c>
    </row>
    <row r="482" spans="1:8" s="5" customFormat="1">
      <c r="A482" s="15">
        <v>4</v>
      </c>
      <c r="B482" s="7" t="s">
        <v>80</v>
      </c>
      <c r="C482" s="8" t="str">
        <f>Gia_VLieu!C7</f>
        <v>quyển</v>
      </c>
      <c r="D482" s="86">
        <f>Gia_VLieu!D7</f>
        <v>10000</v>
      </c>
      <c r="E482" s="72">
        <v>2E-3</v>
      </c>
      <c r="F482" s="21">
        <f t="shared" si="32"/>
        <v>20</v>
      </c>
      <c r="H482" s="12">
        <v>478</v>
      </c>
    </row>
    <row r="483" spans="1:8" s="5" customFormat="1">
      <c r="A483" s="15">
        <v>5</v>
      </c>
      <c r="B483" s="7" t="s">
        <v>21</v>
      </c>
      <c r="C483" s="8" t="str">
        <f>Gia_VLieu!C8</f>
        <v>cái</v>
      </c>
      <c r="D483" s="86">
        <f>Gia_VLieu!D8</f>
        <v>2000</v>
      </c>
      <c r="E483" s="72">
        <v>0.01</v>
      </c>
      <c r="F483" s="21">
        <f t="shared" si="32"/>
        <v>20</v>
      </c>
      <c r="H483" s="12">
        <v>479</v>
      </c>
    </row>
    <row r="484" spans="1:8" s="5" customFormat="1">
      <c r="A484" s="15">
        <v>6</v>
      </c>
      <c r="B484" s="7" t="s">
        <v>82</v>
      </c>
      <c r="C484" s="8" t="str">
        <f>Gia_VLieu!C9</f>
        <v>cái</v>
      </c>
      <c r="D484" s="86">
        <f>Gia_VLieu!D9</f>
        <v>8000</v>
      </c>
      <c r="E484" s="72">
        <v>1E-3</v>
      </c>
      <c r="F484" s="21">
        <f t="shared" si="32"/>
        <v>8</v>
      </c>
      <c r="H484" s="12">
        <v>480</v>
      </c>
    </row>
    <row r="485" spans="1:8" s="5" customFormat="1">
      <c r="A485" s="15">
        <v>7</v>
      </c>
      <c r="B485" s="7" t="s">
        <v>83</v>
      </c>
      <c r="C485" s="8" t="str">
        <f>Gia_VLieu!C10</f>
        <v>cái</v>
      </c>
      <c r="D485" s="86">
        <f>Gia_VLieu!D10</f>
        <v>10000</v>
      </c>
      <c r="E485" s="72">
        <v>1E-3</v>
      </c>
      <c r="F485" s="21">
        <f t="shared" si="32"/>
        <v>10</v>
      </c>
      <c r="H485" s="12">
        <v>481</v>
      </c>
    </row>
    <row r="486" spans="1:8" s="5" customFormat="1">
      <c r="A486" s="15">
        <v>8</v>
      </c>
      <c r="B486" s="7" t="s">
        <v>84</v>
      </c>
      <c r="C486" s="8" t="str">
        <f>Gia_VLieu!C11</f>
        <v>hộp</v>
      </c>
      <c r="D486" s="86">
        <f>Gia_VLieu!D11</f>
        <v>2500</v>
      </c>
      <c r="E486" s="72">
        <v>1E-3</v>
      </c>
      <c r="F486" s="21">
        <f t="shared" si="32"/>
        <v>2.5</v>
      </c>
      <c r="H486" s="12">
        <v>482</v>
      </c>
    </row>
    <row r="487" spans="1:8" s="5" customFormat="1">
      <c r="A487" s="15">
        <v>9</v>
      </c>
      <c r="B487" s="7" t="s">
        <v>85</v>
      </c>
      <c r="C487" s="8" t="str">
        <f>Gia_VLieu!C12</f>
        <v>hộp</v>
      </c>
      <c r="D487" s="86">
        <f>Gia_VLieu!D12</f>
        <v>2000</v>
      </c>
      <c r="E487" s="72">
        <v>1E-3</v>
      </c>
      <c r="F487" s="21">
        <f t="shared" si="32"/>
        <v>2</v>
      </c>
      <c r="H487" s="12">
        <v>483</v>
      </c>
    </row>
    <row r="488" spans="1:8" s="5" customFormat="1">
      <c r="A488" s="15">
        <v>10</v>
      </c>
      <c r="B488" s="7" t="s">
        <v>86</v>
      </c>
      <c r="C488" s="8" t="str">
        <f>Gia_VLieu!C13</f>
        <v>tập</v>
      </c>
      <c r="D488" s="86">
        <f>Gia_VLieu!D13</f>
        <v>8000</v>
      </c>
      <c r="E488" s="72">
        <v>3.0000000000000001E-3</v>
      </c>
      <c r="F488" s="21">
        <f t="shared" si="32"/>
        <v>24</v>
      </c>
      <c r="H488" s="12">
        <v>484</v>
      </c>
    </row>
    <row r="489" spans="1:8" s="5" customFormat="1">
      <c r="A489" s="57">
        <v>11</v>
      </c>
      <c r="B489" s="58" t="s">
        <v>87</v>
      </c>
      <c r="C489" s="59" t="str">
        <f>Gia_VLieu!C14</f>
        <v>cái</v>
      </c>
      <c r="D489" s="87">
        <f>Gia_VLieu!D14</f>
        <v>15000</v>
      </c>
      <c r="E489" s="73">
        <v>1E-3</v>
      </c>
      <c r="F489" s="55">
        <f>D489*E489</f>
        <v>15</v>
      </c>
      <c r="H489" s="12">
        <v>485</v>
      </c>
    </row>
    <row r="490" spans="1:8" s="46" customFormat="1">
      <c r="A490" s="44" t="e">
        <f>#REF!</f>
        <v>#REF!</v>
      </c>
      <c r="B490" s="45" t="e">
        <f>#REF!</f>
        <v>#REF!</v>
      </c>
      <c r="C490" s="20"/>
      <c r="D490" s="90"/>
      <c r="E490" s="63"/>
      <c r="F490" s="23"/>
      <c r="H490" s="12">
        <v>486</v>
      </c>
    </row>
    <row r="491" spans="1:8" s="5" customFormat="1">
      <c r="A491" s="57" t="e">
        <f>#REF!</f>
        <v>#REF!</v>
      </c>
      <c r="B491" s="58" t="e">
        <f>#REF!</f>
        <v>#REF!</v>
      </c>
      <c r="C491" s="59"/>
      <c r="D491" s="87"/>
      <c r="E491" s="64"/>
      <c r="F491" s="55"/>
      <c r="H491" s="12">
        <v>487</v>
      </c>
    </row>
    <row r="492" spans="1:8" s="16" customFormat="1">
      <c r="A492" s="48" t="e">
        <f>#REF!</f>
        <v>#REF!</v>
      </c>
      <c r="B492" s="49" t="e">
        <f>#REF!</f>
        <v>#REF!</v>
      </c>
      <c r="C492" s="50"/>
      <c r="D492" s="91"/>
      <c r="E492" s="65"/>
      <c r="F492" s="40"/>
      <c r="H492" s="12">
        <v>488</v>
      </c>
    </row>
    <row r="493" spans="1:8" s="46" customFormat="1">
      <c r="A493" s="44" t="e">
        <f>#REF!</f>
        <v>#REF!</v>
      </c>
      <c r="B493" s="45" t="e">
        <f>#REF!</f>
        <v>#REF!</v>
      </c>
      <c r="C493" s="20"/>
      <c r="D493" s="151">
        <f>Gia_VLieu!D$16</f>
        <v>1</v>
      </c>
      <c r="E493" s="63"/>
      <c r="F493" s="23">
        <f>SUM(F494:F504)*D493</f>
        <v>2330000</v>
      </c>
      <c r="H493" s="12">
        <v>489</v>
      </c>
    </row>
    <row r="494" spans="1:8" s="5" customFormat="1">
      <c r="A494" s="15">
        <v>1</v>
      </c>
      <c r="B494" s="7" t="s">
        <v>77</v>
      </c>
      <c r="C494" s="8" t="str">
        <f>Gia_VLieu!C4</f>
        <v>gram</v>
      </c>
      <c r="D494" s="86">
        <f>Gia_VLieu!D4</f>
        <v>45000</v>
      </c>
      <c r="E494" s="72">
        <v>10</v>
      </c>
      <c r="F494" s="21">
        <f>D494*E494</f>
        <v>450000</v>
      </c>
      <c r="H494" s="12">
        <v>490</v>
      </c>
    </row>
    <row r="495" spans="1:8" s="5" customFormat="1">
      <c r="A495" s="15">
        <v>2</v>
      </c>
      <c r="B495" s="7" t="s">
        <v>78</v>
      </c>
      <c r="C495" s="8" t="str">
        <f>Gia_VLieu!C5</f>
        <v>hộp</v>
      </c>
      <c r="D495" s="86">
        <f>Gia_VLieu!D5</f>
        <v>1450000</v>
      </c>
      <c r="E495" s="72">
        <v>0.5</v>
      </c>
      <c r="F495" s="21">
        <f t="shared" ref="F495:F503" si="33">D495*E495</f>
        <v>725000</v>
      </c>
      <c r="H495" s="12">
        <v>491</v>
      </c>
    </row>
    <row r="496" spans="1:8" s="5" customFormat="1">
      <c r="A496" s="15">
        <v>3</v>
      </c>
      <c r="B496" s="7" t="s">
        <v>79</v>
      </c>
      <c r="C496" s="8" t="str">
        <f>Gia_VLieu!C6</f>
        <v>hộp</v>
      </c>
      <c r="D496" s="86">
        <f>Gia_VLieu!D6</f>
        <v>250000</v>
      </c>
      <c r="E496" s="72">
        <v>0.4</v>
      </c>
      <c r="F496" s="21">
        <f t="shared" si="33"/>
        <v>100000</v>
      </c>
      <c r="H496" s="12">
        <v>492</v>
      </c>
    </row>
    <row r="497" spans="1:8" s="5" customFormat="1">
      <c r="A497" s="15">
        <v>4</v>
      </c>
      <c r="B497" s="7" t="s">
        <v>80</v>
      </c>
      <c r="C497" s="8" t="str">
        <f>Gia_VLieu!C7</f>
        <v>quyển</v>
      </c>
      <c r="D497" s="86">
        <f>Gia_VLieu!D7</f>
        <v>10000</v>
      </c>
      <c r="E497" s="72">
        <v>30</v>
      </c>
      <c r="F497" s="21">
        <f t="shared" si="33"/>
        <v>300000</v>
      </c>
      <c r="H497" s="12">
        <v>493</v>
      </c>
    </row>
    <row r="498" spans="1:8" s="5" customFormat="1">
      <c r="A498" s="15">
        <v>5</v>
      </c>
      <c r="B498" s="7" t="s">
        <v>21</v>
      </c>
      <c r="C498" s="8" t="str">
        <f>Gia_VLieu!C8</f>
        <v>cái</v>
      </c>
      <c r="D498" s="86">
        <f>Gia_VLieu!D8</f>
        <v>2000</v>
      </c>
      <c r="E498" s="72">
        <v>32</v>
      </c>
      <c r="F498" s="21">
        <f t="shared" si="33"/>
        <v>64000</v>
      </c>
      <c r="H498" s="12">
        <v>494</v>
      </c>
    </row>
    <row r="499" spans="1:8" s="5" customFormat="1">
      <c r="A499" s="15">
        <v>6</v>
      </c>
      <c r="B499" s="7" t="s">
        <v>82</v>
      </c>
      <c r="C499" s="8" t="str">
        <f>Gia_VLieu!C9</f>
        <v>cái</v>
      </c>
      <c r="D499" s="86">
        <f>Gia_VLieu!D9</f>
        <v>8000</v>
      </c>
      <c r="E499" s="72">
        <v>15</v>
      </c>
      <c r="F499" s="21">
        <f t="shared" si="33"/>
        <v>120000</v>
      </c>
      <c r="H499" s="12">
        <v>495</v>
      </c>
    </row>
    <row r="500" spans="1:8" s="5" customFormat="1">
      <c r="A500" s="15">
        <v>7</v>
      </c>
      <c r="B500" s="7" t="s">
        <v>83</v>
      </c>
      <c r="C500" s="8" t="str">
        <f>Gia_VLieu!C10</f>
        <v>cái</v>
      </c>
      <c r="D500" s="86">
        <f>Gia_VLieu!D10</f>
        <v>10000</v>
      </c>
      <c r="E500" s="72">
        <v>15</v>
      </c>
      <c r="F500" s="21">
        <f t="shared" si="33"/>
        <v>150000</v>
      </c>
      <c r="H500" s="12">
        <v>496</v>
      </c>
    </row>
    <row r="501" spans="1:8" s="5" customFormat="1">
      <c r="A501" s="15">
        <v>8</v>
      </c>
      <c r="B501" s="7" t="s">
        <v>84</v>
      </c>
      <c r="C501" s="8" t="str">
        <f>Gia_VLieu!C11</f>
        <v>hộp</v>
      </c>
      <c r="D501" s="86">
        <f>Gia_VLieu!D11</f>
        <v>2500</v>
      </c>
      <c r="E501" s="72">
        <v>10</v>
      </c>
      <c r="F501" s="21">
        <f t="shared" si="33"/>
        <v>25000</v>
      </c>
      <c r="H501" s="12">
        <v>497</v>
      </c>
    </row>
    <row r="502" spans="1:8" s="5" customFormat="1">
      <c r="A502" s="15">
        <v>9</v>
      </c>
      <c r="B502" s="7" t="s">
        <v>85</v>
      </c>
      <c r="C502" s="8" t="str">
        <f>Gia_VLieu!C12</f>
        <v>hộp</v>
      </c>
      <c r="D502" s="86">
        <f>Gia_VLieu!D12</f>
        <v>2000</v>
      </c>
      <c r="E502" s="72">
        <v>8</v>
      </c>
      <c r="F502" s="21">
        <f t="shared" si="33"/>
        <v>16000</v>
      </c>
      <c r="H502" s="12">
        <v>498</v>
      </c>
    </row>
    <row r="503" spans="1:8" s="5" customFormat="1">
      <c r="A503" s="15">
        <v>10</v>
      </c>
      <c r="B503" s="7" t="s">
        <v>86</v>
      </c>
      <c r="C503" s="8" t="str">
        <f>Gia_VLieu!C13</f>
        <v>tập</v>
      </c>
      <c r="D503" s="86">
        <f>Gia_VLieu!D13</f>
        <v>8000</v>
      </c>
      <c r="E503" s="72">
        <v>10</v>
      </c>
      <c r="F503" s="21">
        <f t="shared" si="33"/>
        <v>80000</v>
      </c>
      <c r="H503" s="12">
        <v>499</v>
      </c>
    </row>
    <row r="504" spans="1:8" s="5" customFormat="1">
      <c r="A504" s="57">
        <v>11</v>
      </c>
      <c r="B504" s="58" t="s">
        <v>87</v>
      </c>
      <c r="C504" s="59" t="str">
        <f>Gia_VLieu!C14</f>
        <v>cái</v>
      </c>
      <c r="D504" s="87">
        <f>Gia_VLieu!D14</f>
        <v>15000</v>
      </c>
      <c r="E504" s="73">
        <v>20</v>
      </c>
      <c r="F504" s="55">
        <f>D504*E504</f>
        <v>300000</v>
      </c>
      <c r="H504" s="12">
        <v>500</v>
      </c>
    </row>
    <row r="505" spans="1:8" s="46" customFormat="1">
      <c r="A505" s="44" t="e">
        <f>#REF!</f>
        <v>#REF!</v>
      </c>
      <c r="B505" s="45" t="e">
        <f>#REF!</f>
        <v>#REF!</v>
      </c>
      <c r="C505" s="20"/>
      <c r="D505" s="151">
        <f>Gia_VLieu!D$16</f>
        <v>1</v>
      </c>
      <c r="E505" s="63"/>
      <c r="F505" s="23">
        <f>SUM(F506:F516)*D505</f>
        <v>1114500</v>
      </c>
      <c r="H505" s="12">
        <v>501</v>
      </c>
    </row>
    <row r="506" spans="1:8" s="5" customFormat="1">
      <c r="A506" s="15">
        <v>1</v>
      </c>
      <c r="B506" s="7" t="s">
        <v>77</v>
      </c>
      <c r="C506" s="8" t="str">
        <f>Gia_VLieu!C4</f>
        <v>gram</v>
      </c>
      <c r="D506" s="86">
        <f>Gia_VLieu!D4</f>
        <v>45000</v>
      </c>
      <c r="E506" s="72">
        <v>2</v>
      </c>
      <c r="F506" s="21">
        <f>D506*E506</f>
        <v>90000</v>
      </c>
      <c r="H506" s="12">
        <v>502</v>
      </c>
    </row>
    <row r="507" spans="1:8" s="5" customFormat="1">
      <c r="A507" s="15">
        <v>2</v>
      </c>
      <c r="B507" s="7" t="s">
        <v>78</v>
      </c>
      <c r="C507" s="8" t="str">
        <f>Gia_VLieu!C5</f>
        <v>hộp</v>
      </c>
      <c r="D507" s="86">
        <f>Gia_VLieu!D5</f>
        <v>1450000</v>
      </c>
      <c r="E507" s="72">
        <v>0.1</v>
      </c>
      <c r="F507" s="21">
        <f t="shared" ref="F507:F515" si="34">D507*E507</f>
        <v>145000</v>
      </c>
      <c r="H507" s="12">
        <v>503</v>
      </c>
    </row>
    <row r="508" spans="1:8" s="5" customFormat="1">
      <c r="A508" s="15">
        <v>3</v>
      </c>
      <c r="B508" s="7" t="s">
        <v>79</v>
      </c>
      <c r="C508" s="8" t="str">
        <f>Gia_VLieu!C6</f>
        <v>hộp</v>
      </c>
      <c r="D508" s="86">
        <f>Gia_VLieu!D6</f>
        <v>250000</v>
      </c>
      <c r="E508" s="72">
        <v>0.05</v>
      </c>
      <c r="F508" s="21">
        <f t="shared" si="34"/>
        <v>12500</v>
      </c>
      <c r="H508" s="12">
        <v>504</v>
      </c>
    </row>
    <row r="509" spans="1:8" s="5" customFormat="1">
      <c r="A509" s="15">
        <v>4</v>
      </c>
      <c r="B509" s="7" t="s">
        <v>80</v>
      </c>
      <c r="C509" s="8" t="str">
        <f>Gia_VLieu!C7</f>
        <v>quyển</v>
      </c>
      <c r="D509" s="86">
        <f>Gia_VLieu!D7</f>
        <v>10000</v>
      </c>
      <c r="E509" s="72">
        <v>25</v>
      </c>
      <c r="F509" s="21">
        <f t="shared" si="34"/>
        <v>250000</v>
      </c>
      <c r="H509" s="12">
        <v>505</v>
      </c>
    </row>
    <row r="510" spans="1:8" s="5" customFormat="1">
      <c r="A510" s="15">
        <v>5</v>
      </c>
      <c r="B510" s="7" t="s">
        <v>21</v>
      </c>
      <c r="C510" s="8" t="str">
        <f>Gia_VLieu!C8</f>
        <v>cái</v>
      </c>
      <c r="D510" s="86">
        <f>Gia_VLieu!D8</f>
        <v>2000</v>
      </c>
      <c r="E510" s="72">
        <v>30</v>
      </c>
      <c r="F510" s="21">
        <f t="shared" si="34"/>
        <v>60000</v>
      </c>
      <c r="H510" s="12">
        <v>506</v>
      </c>
    </row>
    <row r="511" spans="1:8" s="5" customFormat="1">
      <c r="A511" s="15">
        <v>6</v>
      </c>
      <c r="B511" s="7" t="s">
        <v>82</v>
      </c>
      <c r="C511" s="8" t="str">
        <f>Gia_VLieu!C9</f>
        <v>cái</v>
      </c>
      <c r="D511" s="86">
        <f>Gia_VLieu!D9</f>
        <v>8000</v>
      </c>
      <c r="E511" s="72">
        <v>14</v>
      </c>
      <c r="F511" s="21">
        <f t="shared" si="34"/>
        <v>112000</v>
      </c>
      <c r="H511" s="12">
        <v>507</v>
      </c>
    </row>
    <row r="512" spans="1:8" s="5" customFormat="1">
      <c r="A512" s="15">
        <v>7</v>
      </c>
      <c r="B512" s="7" t="s">
        <v>83</v>
      </c>
      <c r="C512" s="8" t="str">
        <f>Gia_VLieu!C10</f>
        <v>cái</v>
      </c>
      <c r="D512" s="86">
        <f>Gia_VLieu!D10</f>
        <v>10000</v>
      </c>
      <c r="E512" s="72">
        <v>14</v>
      </c>
      <c r="F512" s="21">
        <f t="shared" si="34"/>
        <v>140000</v>
      </c>
      <c r="H512" s="12">
        <v>508</v>
      </c>
    </row>
    <row r="513" spans="1:8" s="5" customFormat="1">
      <c r="A513" s="15">
        <v>8</v>
      </c>
      <c r="B513" s="7" t="s">
        <v>84</v>
      </c>
      <c r="C513" s="8" t="str">
        <f>Gia_VLieu!C11</f>
        <v>hộp</v>
      </c>
      <c r="D513" s="86">
        <f>Gia_VLieu!D11</f>
        <v>2500</v>
      </c>
      <c r="E513" s="72">
        <v>8</v>
      </c>
      <c r="F513" s="21">
        <f t="shared" si="34"/>
        <v>20000</v>
      </c>
      <c r="H513" s="12">
        <v>509</v>
      </c>
    </row>
    <row r="514" spans="1:8" s="5" customFormat="1">
      <c r="A514" s="15">
        <v>9</v>
      </c>
      <c r="B514" s="7" t="s">
        <v>85</v>
      </c>
      <c r="C514" s="8" t="str">
        <f>Gia_VLieu!C12</f>
        <v>hộp</v>
      </c>
      <c r="D514" s="86">
        <f>Gia_VLieu!D12</f>
        <v>2000</v>
      </c>
      <c r="E514" s="72">
        <v>6</v>
      </c>
      <c r="F514" s="21">
        <f t="shared" si="34"/>
        <v>12000</v>
      </c>
      <c r="H514" s="12">
        <v>510</v>
      </c>
    </row>
    <row r="515" spans="1:8" s="5" customFormat="1">
      <c r="A515" s="15">
        <v>10</v>
      </c>
      <c r="B515" s="7" t="s">
        <v>86</v>
      </c>
      <c r="C515" s="8" t="str">
        <f>Gia_VLieu!C13</f>
        <v>tập</v>
      </c>
      <c r="D515" s="86">
        <f>Gia_VLieu!D13</f>
        <v>8000</v>
      </c>
      <c r="E515" s="72">
        <v>6</v>
      </c>
      <c r="F515" s="21">
        <f t="shared" si="34"/>
        <v>48000</v>
      </c>
      <c r="H515" s="12">
        <v>511</v>
      </c>
    </row>
    <row r="516" spans="1:8" s="5" customFormat="1">
      <c r="A516" s="57">
        <v>11</v>
      </c>
      <c r="B516" s="58" t="s">
        <v>87</v>
      </c>
      <c r="C516" s="59" t="str">
        <f>Gia_VLieu!C14</f>
        <v>cái</v>
      </c>
      <c r="D516" s="87">
        <f>Gia_VLieu!D14</f>
        <v>15000</v>
      </c>
      <c r="E516" s="73">
        <v>15</v>
      </c>
      <c r="F516" s="55">
        <f>D516*E516</f>
        <v>225000</v>
      </c>
      <c r="H516" s="12">
        <v>512</v>
      </c>
    </row>
    <row r="517" spans="1:8" s="46" customFormat="1">
      <c r="A517" s="44" t="e">
        <f>#REF!</f>
        <v>#REF!</v>
      </c>
      <c r="B517" s="45" t="e">
        <f>#REF!</f>
        <v>#REF!</v>
      </c>
      <c r="C517" s="20"/>
      <c r="D517" s="151">
        <f>Gia_VLieu!D$16</f>
        <v>1</v>
      </c>
      <c r="E517" s="63"/>
      <c r="F517" s="23">
        <f>SUM(F518:F528)*D517</f>
        <v>9154500</v>
      </c>
      <c r="H517" s="12">
        <v>513</v>
      </c>
    </row>
    <row r="518" spans="1:8" s="5" customFormat="1">
      <c r="A518" s="15">
        <v>1</v>
      </c>
      <c r="B518" s="7" t="s">
        <v>77</v>
      </c>
      <c r="C518" s="8" t="str">
        <f>Gia_VLieu!C4</f>
        <v>gram</v>
      </c>
      <c r="D518" s="86">
        <f>Gia_VLieu!D4</f>
        <v>45000</v>
      </c>
      <c r="E518" s="72">
        <v>40</v>
      </c>
      <c r="F518" s="21">
        <f>D518*E518</f>
        <v>1800000</v>
      </c>
      <c r="H518" s="12">
        <v>514</v>
      </c>
    </row>
    <row r="519" spans="1:8" s="5" customFormat="1">
      <c r="A519" s="15">
        <v>2</v>
      </c>
      <c r="B519" s="7" t="s">
        <v>78</v>
      </c>
      <c r="C519" s="8" t="str">
        <f>Gia_VLieu!C5</f>
        <v>hộp</v>
      </c>
      <c r="D519" s="86">
        <f>Gia_VLieu!D5</f>
        <v>1450000</v>
      </c>
      <c r="E519" s="72">
        <v>3.5</v>
      </c>
      <c r="F519" s="21">
        <f t="shared" ref="F519:F527" si="35">D519*E519</f>
        <v>5075000</v>
      </c>
      <c r="H519" s="12">
        <v>515</v>
      </c>
    </row>
    <row r="520" spans="1:8" s="5" customFormat="1">
      <c r="A520" s="15">
        <v>3</v>
      </c>
      <c r="B520" s="7" t="s">
        <v>79</v>
      </c>
      <c r="C520" s="8" t="str">
        <f>Gia_VLieu!C6</f>
        <v>hộp</v>
      </c>
      <c r="D520" s="86">
        <f>Gia_VLieu!D6</f>
        <v>250000</v>
      </c>
      <c r="E520" s="72">
        <v>1.2</v>
      </c>
      <c r="F520" s="21">
        <f t="shared" si="35"/>
        <v>300000</v>
      </c>
      <c r="H520" s="12">
        <v>516</v>
      </c>
    </row>
    <row r="521" spans="1:8" s="5" customFormat="1">
      <c r="A521" s="15">
        <v>4</v>
      </c>
      <c r="B521" s="7" t="s">
        <v>80</v>
      </c>
      <c r="C521" s="8" t="str">
        <f>Gia_VLieu!C7</f>
        <v>quyển</v>
      </c>
      <c r="D521" s="86">
        <f>Gia_VLieu!D7</f>
        <v>10000</v>
      </c>
      <c r="E521" s="72">
        <v>35</v>
      </c>
      <c r="F521" s="21">
        <f t="shared" si="35"/>
        <v>350000</v>
      </c>
      <c r="H521" s="12">
        <v>517</v>
      </c>
    </row>
    <row r="522" spans="1:8" s="5" customFormat="1">
      <c r="A522" s="15">
        <v>5</v>
      </c>
      <c r="B522" s="7" t="s">
        <v>21</v>
      </c>
      <c r="C522" s="8" t="str">
        <f>Gia_VLieu!C8</f>
        <v>cái</v>
      </c>
      <c r="D522" s="86">
        <f>Gia_VLieu!D8</f>
        <v>2000</v>
      </c>
      <c r="E522" s="72">
        <v>50</v>
      </c>
      <c r="F522" s="21">
        <f t="shared" si="35"/>
        <v>100000</v>
      </c>
      <c r="H522" s="12">
        <v>518</v>
      </c>
    </row>
    <row r="523" spans="1:8" s="5" customFormat="1">
      <c r="A523" s="15">
        <v>6</v>
      </c>
      <c r="B523" s="7" t="s">
        <v>82</v>
      </c>
      <c r="C523" s="8" t="str">
        <f>Gia_VLieu!C9</f>
        <v>cái</v>
      </c>
      <c r="D523" s="86">
        <f>Gia_VLieu!D9</f>
        <v>8000</v>
      </c>
      <c r="E523" s="72">
        <v>40</v>
      </c>
      <c r="F523" s="21">
        <f t="shared" si="35"/>
        <v>320000</v>
      </c>
      <c r="H523" s="12">
        <v>519</v>
      </c>
    </row>
    <row r="524" spans="1:8" s="5" customFormat="1">
      <c r="A524" s="15">
        <v>7</v>
      </c>
      <c r="B524" s="7" t="s">
        <v>83</v>
      </c>
      <c r="C524" s="8" t="str">
        <f>Gia_VLieu!C10</f>
        <v>cái</v>
      </c>
      <c r="D524" s="86">
        <f>Gia_VLieu!D10</f>
        <v>10000</v>
      </c>
      <c r="E524" s="72">
        <v>40</v>
      </c>
      <c r="F524" s="21">
        <f t="shared" si="35"/>
        <v>400000</v>
      </c>
      <c r="H524" s="12">
        <v>520</v>
      </c>
    </row>
    <row r="525" spans="1:8" s="5" customFormat="1">
      <c r="A525" s="15">
        <v>8</v>
      </c>
      <c r="B525" s="7" t="s">
        <v>84</v>
      </c>
      <c r="C525" s="8" t="str">
        <f>Gia_VLieu!C11</f>
        <v>hộp</v>
      </c>
      <c r="D525" s="86">
        <f>Gia_VLieu!D11</f>
        <v>2500</v>
      </c>
      <c r="E525" s="72">
        <v>35</v>
      </c>
      <c r="F525" s="21">
        <f t="shared" si="35"/>
        <v>87500</v>
      </c>
      <c r="H525" s="12">
        <v>521</v>
      </c>
    </row>
    <row r="526" spans="1:8" s="5" customFormat="1">
      <c r="A526" s="15">
        <v>9</v>
      </c>
      <c r="B526" s="7" t="s">
        <v>85</v>
      </c>
      <c r="C526" s="8" t="str">
        <f>Gia_VLieu!C12</f>
        <v>hộp</v>
      </c>
      <c r="D526" s="86">
        <f>Gia_VLieu!D12</f>
        <v>2000</v>
      </c>
      <c r="E526" s="72">
        <v>21</v>
      </c>
      <c r="F526" s="21">
        <f t="shared" si="35"/>
        <v>42000</v>
      </c>
      <c r="H526" s="12">
        <v>522</v>
      </c>
    </row>
    <row r="527" spans="1:8" s="5" customFormat="1">
      <c r="A527" s="15">
        <v>10</v>
      </c>
      <c r="B527" s="7" t="s">
        <v>86</v>
      </c>
      <c r="C527" s="8" t="str">
        <f>Gia_VLieu!C13</f>
        <v>tập</v>
      </c>
      <c r="D527" s="86">
        <f>Gia_VLieu!D13</f>
        <v>8000</v>
      </c>
      <c r="E527" s="72">
        <v>25</v>
      </c>
      <c r="F527" s="21">
        <f t="shared" si="35"/>
        <v>200000</v>
      </c>
      <c r="H527" s="12">
        <v>523</v>
      </c>
    </row>
    <row r="528" spans="1:8" s="5" customFormat="1">
      <c r="A528" s="57">
        <v>11</v>
      </c>
      <c r="B528" s="58" t="s">
        <v>87</v>
      </c>
      <c r="C528" s="59" t="str">
        <f>Gia_VLieu!C14</f>
        <v>cái</v>
      </c>
      <c r="D528" s="87">
        <f>Gia_VLieu!D14</f>
        <v>15000</v>
      </c>
      <c r="E528" s="73">
        <v>32</v>
      </c>
      <c r="F528" s="55">
        <f>D528*E528</f>
        <v>480000</v>
      </c>
      <c r="H528" s="12">
        <v>524</v>
      </c>
    </row>
    <row r="529" spans="1:8" s="16" customFormat="1">
      <c r="A529" s="14" t="e">
        <f>#REF!</f>
        <v>#REF!</v>
      </c>
      <c r="B529" s="10" t="e">
        <f>#REF!</f>
        <v>#REF!</v>
      </c>
      <c r="C529" s="9"/>
      <c r="D529" s="92"/>
      <c r="E529" s="66"/>
      <c r="F529" s="22"/>
      <c r="H529" s="12">
        <v>525</v>
      </c>
    </row>
    <row r="530" spans="1:8" s="46" customFormat="1">
      <c r="A530" s="44" t="e">
        <f>#REF!</f>
        <v>#REF!</v>
      </c>
      <c r="B530" s="45" t="e">
        <f>#REF!</f>
        <v>#REF!</v>
      </c>
      <c r="C530" s="20"/>
      <c r="D530" s="90"/>
      <c r="E530" s="63"/>
      <c r="F530" s="23"/>
      <c r="H530" s="12">
        <v>526</v>
      </c>
    </row>
    <row r="531" spans="1:8" s="46" customFormat="1">
      <c r="A531" s="44" t="e">
        <f>#REF!</f>
        <v>#REF!</v>
      </c>
      <c r="B531" s="45" t="e">
        <f>#REF!</f>
        <v>#REF!</v>
      </c>
      <c r="C531" s="20"/>
      <c r="D531" s="90"/>
      <c r="E531" s="63"/>
      <c r="F531" s="23"/>
      <c r="H531" s="12">
        <v>527</v>
      </c>
    </row>
    <row r="532" spans="1:8" s="16" customFormat="1">
      <c r="A532" s="14" t="e">
        <f>#REF!</f>
        <v>#REF!</v>
      </c>
      <c r="B532" s="10" t="e">
        <f>#REF!</f>
        <v>#REF!</v>
      </c>
      <c r="C532" s="9"/>
      <c r="D532" s="92"/>
      <c r="E532" s="66"/>
      <c r="F532" s="22"/>
      <c r="H532" s="12">
        <v>528</v>
      </c>
    </row>
    <row r="533" spans="1:8" s="46" customFormat="1">
      <c r="A533" s="44" t="e">
        <f>#REF!</f>
        <v>#REF!</v>
      </c>
      <c r="B533" s="45" t="e">
        <f>#REF!</f>
        <v>#REF!</v>
      </c>
      <c r="C533" s="20"/>
      <c r="D533" s="90"/>
      <c r="E533" s="63"/>
      <c r="F533" s="23">
        <f>SUM(F534:F544)*D533</f>
        <v>0</v>
      </c>
      <c r="H533" s="12">
        <v>529</v>
      </c>
    </row>
    <row r="534" spans="1:8" s="5" customFormat="1">
      <c r="A534" s="15">
        <v>1</v>
      </c>
      <c r="B534" s="7" t="s">
        <v>77</v>
      </c>
      <c r="C534" s="8" t="str">
        <f>Gia_VLieu!C4</f>
        <v>gram</v>
      </c>
      <c r="D534" s="86">
        <f>Gia_VLieu!D4</f>
        <v>45000</v>
      </c>
      <c r="E534" s="72">
        <v>5</v>
      </c>
      <c r="F534" s="21">
        <f>D534*E534</f>
        <v>225000</v>
      </c>
      <c r="H534" s="12">
        <v>530</v>
      </c>
    </row>
    <row r="535" spans="1:8" s="5" customFormat="1">
      <c r="A535" s="15">
        <v>2</v>
      </c>
      <c r="B535" s="7" t="s">
        <v>78</v>
      </c>
      <c r="C535" s="8" t="str">
        <f>Gia_VLieu!C5</f>
        <v>hộp</v>
      </c>
      <c r="D535" s="86">
        <f>Gia_VLieu!D5</f>
        <v>1450000</v>
      </c>
      <c r="E535" s="72">
        <v>0.02</v>
      </c>
      <c r="F535" s="21">
        <f t="shared" ref="F535:F543" si="36">D535*E535</f>
        <v>29000</v>
      </c>
      <c r="H535" s="12">
        <v>531</v>
      </c>
    </row>
    <row r="536" spans="1:8" s="5" customFormat="1">
      <c r="A536" s="15">
        <v>3</v>
      </c>
      <c r="B536" s="7" t="s">
        <v>79</v>
      </c>
      <c r="C536" s="8" t="str">
        <f>Gia_VLieu!C6</f>
        <v>hộp</v>
      </c>
      <c r="D536" s="86">
        <f>Gia_VLieu!D6</f>
        <v>250000</v>
      </c>
      <c r="E536" s="72">
        <v>0.01</v>
      </c>
      <c r="F536" s="21">
        <f t="shared" si="36"/>
        <v>2500</v>
      </c>
      <c r="H536" s="12">
        <v>532</v>
      </c>
    </row>
    <row r="537" spans="1:8" s="5" customFormat="1">
      <c r="A537" s="15">
        <v>4</v>
      </c>
      <c r="B537" s="7" t="s">
        <v>80</v>
      </c>
      <c r="C537" s="8" t="str">
        <f>Gia_VLieu!C7</f>
        <v>quyển</v>
      </c>
      <c r="D537" s="86">
        <f>Gia_VLieu!D7</f>
        <v>10000</v>
      </c>
      <c r="E537" s="72">
        <v>5</v>
      </c>
      <c r="F537" s="21">
        <f t="shared" si="36"/>
        <v>50000</v>
      </c>
      <c r="H537" s="12">
        <v>533</v>
      </c>
    </row>
    <row r="538" spans="1:8" s="5" customFormat="1">
      <c r="A538" s="15">
        <v>5</v>
      </c>
      <c r="B538" s="7" t="s">
        <v>21</v>
      </c>
      <c r="C538" s="8" t="str">
        <f>Gia_VLieu!C8</f>
        <v>cái</v>
      </c>
      <c r="D538" s="86">
        <f>Gia_VLieu!D8</f>
        <v>2000</v>
      </c>
      <c r="E538" s="72">
        <v>11</v>
      </c>
      <c r="F538" s="21">
        <f t="shared" si="36"/>
        <v>22000</v>
      </c>
      <c r="H538" s="12">
        <v>534</v>
      </c>
    </row>
    <row r="539" spans="1:8" s="5" customFormat="1">
      <c r="A539" s="15">
        <v>6</v>
      </c>
      <c r="B539" s="7" t="s">
        <v>82</v>
      </c>
      <c r="C539" s="8" t="str">
        <f>Gia_VLieu!C9</f>
        <v>cái</v>
      </c>
      <c r="D539" s="86">
        <f>Gia_VLieu!D9</f>
        <v>8000</v>
      </c>
      <c r="E539" s="72">
        <v>40</v>
      </c>
      <c r="F539" s="21">
        <f t="shared" si="36"/>
        <v>320000</v>
      </c>
      <c r="H539" s="12">
        <v>535</v>
      </c>
    </row>
    <row r="540" spans="1:8" s="5" customFormat="1">
      <c r="A540" s="15">
        <v>7</v>
      </c>
      <c r="B540" s="7" t="s">
        <v>83</v>
      </c>
      <c r="C540" s="8" t="str">
        <f>Gia_VLieu!C10</f>
        <v>cái</v>
      </c>
      <c r="D540" s="86">
        <f>Gia_VLieu!D10</f>
        <v>10000</v>
      </c>
      <c r="E540" s="72">
        <v>40</v>
      </c>
      <c r="F540" s="21">
        <f t="shared" si="36"/>
        <v>400000</v>
      </c>
      <c r="H540" s="12">
        <v>536</v>
      </c>
    </row>
    <row r="541" spans="1:8" s="5" customFormat="1">
      <c r="A541" s="15">
        <v>8</v>
      </c>
      <c r="B541" s="7" t="s">
        <v>84</v>
      </c>
      <c r="C541" s="8" t="str">
        <f>Gia_VLieu!C11</f>
        <v>hộp</v>
      </c>
      <c r="D541" s="86">
        <f>Gia_VLieu!D11</f>
        <v>2500</v>
      </c>
      <c r="E541" s="72">
        <v>8</v>
      </c>
      <c r="F541" s="21">
        <f t="shared" si="36"/>
        <v>20000</v>
      </c>
      <c r="H541" s="12">
        <v>537</v>
      </c>
    </row>
    <row r="542" spans="1:8" s="5" customFormat="1">
      <c r="A542" s="15">
        <v>9</v>
      </c>
      <c r="B542" s="7" t="s">
        <v>85</v>
      </c>
      <c r="C542" s="8" t="str">
        <f>Gia_VLieu!C12</f>
        <v>hộp</v>
      </c>
      <c r="D542" s="86">
        <f>Gia_VLieu!D12</f>
        <v>2000</v>
      </c>
      <c r="E542" s="72">
        <v>4</v>
      </c>
      <c r="F542" s="21">
        <f t="shared" si="36"/>
        <v>8000</v>
      </c>
      <c r="H542" s="12">
        <v>538</v>
      </c>
    </row>
    <row r="543" spans="1:8" s="5" customFormat="1">
      <c r="A543" s="15">
        <v>10</v>
      </c>
      <c r="B543" s="7" t="s">
        <v>86</v>
      </c>
      <c r="C543" s="8" t="str">
        <f>Gia_VLieu!C13</f>
        <v>tập</v>
      </c>
      <c r="D543" s="86">
        <f>Gia_VLieu!D13</f>
        <v>8000</v>
      </c>
      <c r="E543" s="72">
        <v>5</v>
      </c>
      <c r="F543" s="21">
        <f t="shared" si="36"/>
        <v>40000</v>
      </c>
      <c r="H543" s="12">
        <v>539</v>
      </c>
    </row>
    <row r="544" spans="1:8" s="5" customFormat="1">
      <c r="A544" s="57">
        <v>11</v>
      </c>
      <c r="B544" s="58" t="s">
        <v>87</v>
      </c>
      <c r="C544" s="59" t="str">
        <f>Gia_VLieu!C14</f>
        <v>cái</v>
      </c>
      <c r="D544" s="87">
        <f>Gia_VLieu!D14</f>
        <v>15000</v>
      </c>
      <c r="E544" s="73">
        <v>3.78</v>
      </c>
      <c r="F544" s="55">
        <f>D544*E544</f>
        <v>56700</v>
      </c>
      <c r="H544" s="12">
        <v>540</v>
      </c>
    </row>
    <row r="545" spans="1:8" s="46" customFormat="1">
      <c r="A545" s="44" t="e">
        <f>#REF!</f>
        <v>#REF!</v>
      </c>
      <c r="B545" s="45" t="e">
        <f>#REF!</f>
        <v>#REF!</v>
      </c>
      <c r="C545" s="20"/>
      <c r="D545" s="151">
        <f>Gia_VLieu!D$16</f>
        <v>1</v>
      </c>
      <c r="E545" s="63"/>
      <c r="F545" s="23">
        <f>SUM(F546:F556)*D545</f>
        <v>1187000</v>
      </c>
      <c r="H545" s="12">
        <v>541</v>
      </c>
    </row>
    <row r="546" spans="1:8" s="5" customFormat="1">
      <c r="A546" s="15">
        <v>1</v>
      </c>
      <c r="B546" s="7" t="s">
        <v>77</v>
      </c>
      <c r="C546" s="8" t="str">
        <f>Gia_VLieu!C4</f>
        <v>gram</v>
      </c>
      <c r="D546" s="86">
        <f>Gia_VLieu!D4</f>
        <v>45000</v>
      </c>
      <c r="E546" s="72">
        <v>1</v>
      </c>
      <c r="F546" s="21">
        <f>D546*E546</f>
        <v>45000</v>
      </c>
      <c r="H546" s="12">
        <v>542</v>
      </c>
    </row>
    <row r="547" spans="1:8" s="5" customFormat="1">
      <c r="A547" s="15">
        <v>2</v>
      </c>
      <c r="B547" s="7" t="s">
        <v>78</v>
      </c>
      <c r="C547" s="8" t="str">
        <f>Gia_VLieu!C5</f>
        <v>hộp</v>
      </c>
      <c r="D547" s="86">
        <f>Gia_VLieu!D5</f>
        <v>1450000</v>
      </c>
      <c r="E547" s="72">
        <v>0.01</v>
      </c>
      <c r="F547" s="21">
        <f t="shared" ref="F547:F555" si="37">D547*E547</f>
        <v>14500</v>
      </c>
      <c r="H547" s="12">
        <v>543</v>
      </c>
    </row>
    <row r="548" spans="1:8" s="5" customFormat="1">
      <c r="A548" s="15">
        <v>3</v>
      </c>
      <c r="B548" s="7" t="s">
        <v>79</v>
      </c>
      <c r="C548" s="8" t="str">
        <f>Gia_VLieu!C6</f>
        <v>hộp</v>
      </c>
      <c r="D548" s="86">
        <f>Gia_VLieu!D6</f>
        <v>250000</v>
      </c>
      <c r="E548" s="72">
        <v>0.01</v>
      </c>
      <c r="F548" s="21">
        <f t="shared" si="37"/>
        <v>2500</v>
      </c>
      <c r="H548" s="12">
        <v>544</v>
      </c>
    </row>
    <row r="549" spans="1:8" s="5" customFormat="1">
      <c r="A549" s="15">
        <v>4</v>
      </c>
      <c r="B549" s="7" t="s">
        <v>80</v>
      </c>
      <c r="C549" s="8" t="str">
        <f>Gia_VLieu!C7</f>
        <v>quyển</v>
      </c>
      <c r="D549" s="86">
        <f>Gia_VLieu!D7</f>
        <v>10000</v>
      </c>
      <c r="E549" s="72">
        <v>4</v>
      </c>
      <c r="F549" s="21">
        <f t="shared" si="37"/>
        <v>40000</v>
      </c>
      <c r="H549" s="12">
        <v>545</v>
      </c>
    </row>
    <row r="550" spans="1:8" s="5" customFormat="1">
      <c r="A550" s="15">
        <v>5</v>
      </c>
      <c r="B550" s="7" t="s">
        <v>21</v>
      </c>
      <c r="C550" s="8" t="str">
        <f>Gia_VLieu!C8</f>
        <v>cái</v>
      </c>
      <c r="D550" s="86">
        <f>Gia_VLieu!D8</f>
        <v>2000</v>
      </c>
      <c r="E550" s="72">
        <v>6</v>
      </c>
      <c r="F550" s="21">
        <f t="shared" si="37"/>
        <v>12000</v>
      </c>
      <c r="H550" s="12">
        <v>546</v>
      </c>
    </row>
    <row r="551" spans="1:8" s="5" customFormat="1">
      <c r="A551" s="15">
        <v>6</v>
      </c>
      <c r="B551" s="7" t="s">
        <v>82</v>
      </c>
      <c r="C551" s="8" t="str">
        <f>Gia_VLieu!C9</f>
        <v>cái</v>
      </c>
      <c r="D551" s="86">
        <f>Gia_VLieu!D9</f>
        <v>8000</v>
      </c>
      <c r="E551" s="72">
        <v>40</v>
      </c>
      <c r="F551" s="21">
        <f t="shared" si="37"/>
        <v>320000</v>
      </c>
      <c r="H551" s="12">
        <v>547</v>
      </c>
    </row>
    <row r="552" spans="1:8" s="5" customFormat="1">
      <c r="A552" s="15">
        <v>7</v>
      </c>
      <c r="B552" s="7" t="s">
        <v>83</v>
      </c>
      <c r="C552" s="8" t="str">
        <f>Gia_VLieu!C10</f>
        <v>cái</v>
      </c>
      <c r="D552" s="86">
        <f>Gia_VLieu!D10</f>
        <v>10000</v>
      </c>
      <c r="E552" s="72">
        <v>40</v>
      </c>
      <c r="F552" s="21">
        <f t="shared" si="37"/>
        <v>400000</v>
      </c>
      <c r="H552" s="12">
        <v>548</v>
      </c>
    </row>
    <row r="553" spans="1:8" s="5" customFormat="1">
      <c r="A553" s="15">
        <v>8</v>
      </c>
      <c r="B553" s="7" t="s">
        <v>84</v>
      </c>
      <c r="C553" s="8" t="str">
        <f>Gia_VLieu!C11</f>
        <v>hộp</v>
      </c>
      <c r="D553" s="86">
        <f>Gia_VLieu!D11</f>
        <v>2500</v>
      </c>
      <c r="E553" s="72">
        <v>6</v>
      </c>
      <c r="F553" s="21">
        <f t="shared" si="37"/>
        <v>15000</v>
      </c>
      <c r="H553" s="12">
        <v>549</v>
      </c>
    </row>
    <row r="554" spans="1:8" s="5" customFormat="1">
      <c r="A554" s="15">
        <v>9</v>
      </c>
      <c r="B554" s="7" t="s">
        <v>85</v>
      </c>
      <c r="C554" s="8" t="str">
        <f>Gia_VLieu!C12</f>
        <v>hộp</v>
      </c>
      <c r="D554" s="86">
        <f>Gia_VLieu!D12</f>
        <v>2000</v>
      </c>
      <c r="E554" s="72">
        <v>3</v>
      </c>
      <c r="F554" s="21">
        <f t="shared" si="37"/>
        <v>6000</v>
      </c>
      <c r="H554" s="12">
        <v>550</v>
      </c>
    </row>
    <row r="555" spans="1:8" s="5" customFormat="1">
      <c r="A555" s="15">
        <v>10</v>
      </c>
      <c r="B555" s="7" t="s">
        <v>86</v>
      </c>
      <c r="C555" s="8" t="str">
        <f>Gia_VLieu!C13</f>
        <v>tập</v>
      </c>
      <c r="D555" s="86">
        <f>Gia_VLieu!D13</f>
        <v>8000</v>
      </c>
      <c r="E555" s="72">
        <v>4</v>
      </c>
      <c r="F555" s="21">
        <f t="shared" si="37"/>
        <v>32000</v>
      </c>
      <c r="H555" s="12">
        <v>551</v>
      </c>
    </row>
    <row r="556" spans="1:8" s="5" customFormat="1">
      <c r="A556" s="57">
        <v>11</v>
      </c>
      <c r="B556" s="58" t="s">
        <v>87</v>
      </c>
      <c r="C556" s="59" t="str">
        <f>Gia_VLieu!C14</f>
        <v>cái</v>
      </c>
      <c r="D556" s="87">
        <f>Gia_VLieu!D14</f>
        <v>15000</v>
      </c>
      <c r="E556" s="73">
        <v>20</v>
      </c>
      <c r="F556" s="55">
        <f>D556*E556</f>
        <v>300000</v>
      </c>
      <c r="H556" s="12">
        <v>552</v>
      </c>
    </row>
    <row r="557" spans="1:8" s="46" customFormat="1">
      <c r="A557" s="44" t="e">
        <f>#REF!</f>
        <v>#REF!</v>
      </c>
      <c r="B557" s="45" t="e">
        <f>#REF!</f>
        <v>#REF!</v>
      </c>
      <c r="C557" s="20"/>
      <c r="D557" s="90"/>
      <c r="E557" s="63"/>
      <c r="F557" s="23"/>
      <c r="H557" s="12">
        <v>553</v>
      </c>
    </row>
    <row r="558" spans="1:8" s="5" customFormat="1">
      <c r="A558" s="15" t="e">
        <f>#REF!</f>
        <v>#REF!</v>
      </c>
      <c r="B558" s="7" t="e">
        <f>#REF!</f>
        <v>#REF!</v>
      </c>
      <c r="C558" s="8"/>
      <c r="D558" s="151">
        <f>Gia_VLieu!D$16</f>
        <v>1</v>
      </c>
      <c r="E558" s="63"/>
      <c r="F558" s="23">
        <f>SUM(F559:F569)*D558</f>
        <v>602000</v>
      </c>
      <c r="H558" s="12">
        <v>554</v>
      </c>
    </row>
    <row r="559" spans="1:8" s="5" customFormat="1">
      <c r="A559" s="15">
        <v>1</v>
      </c>
      <c r="B559" s="7" t="s">
        <v>77</v>
      </c>
      <c r="C559" s="8" t="str">
        <f>Gia_VLieu!C4</f>
        <v>gram</v>
      </c>
      <c r="D559" s="86">
        <f>Gia_VLieu!D4</f>
        <v>45000</v>
      </c>
      <c r="E559" s="72">
        <v>0.5</v>
      </c>
      <c r="F559" s="21">
        <f>D559*E559</f>
        <v>22500</v>
      </c>
      <c r="H559" s="12">
        <v>555</v>
      </c>
    </row>
    <row r="560" spans="1:8" s="5" customFormat="1">
      <c r="A560" s="15">
        <v>2</v>
      </c>
      <c r="B560" s="7" t="s">
        <v>78</v>
      </c>
      <c r="C560" s="8" t="str">
        <f>Gia_VLieu!C5</f>
        <v>hộp</v>
      </c>
      <c r="D560" s="86">
        <f>Gia_VLieu!D5</f>
        <v>1450000</v>
      </c>
      <c r="E560" s="72">
        <v>0.01</v>
      </c>
      <c r="F560" s="21">
        <f t="shared" ref="F560:F568" si="38">D560*E560</f>
        <v>14500</v>
      </c>
      <c r="H560" s="12">
        <v>556</v>
      </c>
    </row>
    <row r="561" spans="1:8" s="5" customFormat="1">
      <c r="A561" s="15">
        <v>3</v>
      </c>
      <c r="B561" s="7" t="s">
        <v>79</v>
      </c>
      <c r="C561" s="8" t="str">
        <f>Gia_VLieu!C6</f>
        <v>hộp</v>
      </c>
      <c r="D561" s="86">
        <f>Gia_VLieu!D6</f>
        <v>250000</v>
      </c>
      <c r="E561" s="72">
        <v>0.01</v>
      </c>
      <c r="F561" s="21">
        <f t="shared" si="38"/>
        <v>2500</v>
      </c>
      <c r="H561" s="12">
        <v>557</v>
      </c>
    </row>
    <row r="562" spans="1:8" s="5" customFormat="1">
      <c r="A562" s="15">
        <v>4</v>
      </c>
      <c r="B562" s="7" t="s">
        <v>80</v>
      </c>
      <c r="C562" s="8" t="str">
        <f>Gia_VLieu!C7</f>
        <v>quyển</v>
      </c>
      <c r="D562" s="86">
        <f>Gia_VLieu!D7</f>
        <v>10000</v>
      </c>
      <c r="E562" s="72">
        <v>2</v>
      </c>
      <c r="F562" s="21">
        <f t="shared" si="38"/>
        <v>20000</v>
      </c>
      <c r="H562" s="12">
        <v>558</v>
      </c>
    </row>
    <row r="563" spans="1:8" s="5" customFormat="1">
      <c r="A563" s="15">
        <v>5</v>
      </c>
      <c r="B563" s="7" t="s">
        <v>21</v>
      </c>
      <c r="C563" s="8" t="str">
        <f>Gia_VLieu!C8</f>
        <v>cái</v>
      </c>
      <c r="D563" s="86">
        <f>Gia_VLieu!D8</f>
        <v>2000</v>
      </c>
      <c r="E563" s="72">
        <v>3</v>
      </c>
      <c r="F563" s="21">
        <f t="shared" si="38"/>
        <v>6000</v>
      </c>
      <c r="H563" s="12">
        <v>559</v>
      </c>
    </row>
    <row r="564" spans="1:8" s="5" customFormat="1">
      <c r="A564" s="15">
        <v>6</v>
      </c>
      <c r="B564" s="7" t="s">
        <v>82</v>
      </c>
      <c r="C564" s="8" t="str">
        <f>Gia_VLieu!C9</f>
        <v>cái</v>
      </c>
      <c r="D564" s="86">
        <f>Gia_VLieu!D9</f>
        <v>8000</v>
      </c>
      <c r="E564" s="72">
        <v>20</v>
      </c>
      <c r="F564" s="21">
        <f t="shared" si="38"/>
        <v>160000</v>
      </c>
      <c r="H564" s="12">
        <v>560</v>
      </c>
    </row>
    <row r="565" spans="1:8" s="5" customFormat="1">
      <c r="A565" s="15">
        <v>7</v>
      </c>
      <c r="B565" s="7" t="s">
        <v>83</v>
      </c>
      <c r="C565" s="8" t="str">
        <f>Gia_VLieu!C10</f>
        <v>cái</v>
      </c>
      <c r="D565" s="86">
        <f>Gia_VLieu!D10</f>
        <v>10000</v>
      </c>
      <c r="E565" s="72">
        <v>20</v>
      </c>
      <c r="F565" s="21">
        <f t="shared" si="38"/>
        <v>200000</v>
      </c>
      <c r="H565" s="12">
        <v>561</v>
      </c>
    </row>
    <row r="566" spans="1:8" s="5" customFormat="1">
      <c r="A566" s="15">
        <v>8</v>
      </c>
      <c r="B566" s="7" t="s">
        <v>84</v>
      </c>
      <c r="C566" s="8" t="str">
        <f>Gia_VLieu!C11</f>
        <v>hộp</v>
      </c>
      <c r="D566" s="86">
        <f>Gia_VLieu!D11</f>
        <v>2500</v>
      </c>
      <c r="E566" s="72">
        <v>3</v>
      </c>
      <c r="F566" s="21">
        <f t="shared" si="38"/>
        <v>7500</v>
      </c>
      <c r="H566" s="12">
        <v>562</v>
      </c>
    </row>
    <row r="567" spans="1:8" s="5" customFormat="1">
      <c r="A567" s="15">
        <v>9</v>
      </c>
      <c r="B567" s="7" t="s">
        <v>85</v>
      </c>
      <c r="C567" s="8" t="str">
        <f>Gia_VLieu!C12</f>
        <v>hộp</v>
      </c>
      <c r="D567" s="86">
        <f>Gia_VLieu!D12</f>
        <v>2000</v>
      </c>
      <c r="E567" s="72">
        <v>1.5</v>
      </c>
      <c r="F567" s="21">
        <f t="shared" si="38"/>
        <v>3000</v>
      </c>
      <c r="H567" s="12">
        <v>563</v>
      </c>
    </row>
    <row r="568" spans="1:8" s="5" customFormat="1">
      <c r="A568" s="15">
        <v>10</v>
      </c>
      <c r="B568" s="7" t="s">
        <v>86</v>
      </c>
      <c r="C568" s="8" t="str">
        <f>Gia_VLieu!C13</f>
        <v>tập</v>
      </c>
      <c r="D568" s="86">
        <f>Gia_VLieu!D13</f>
        <v>8000</v>
      </c>
      <c r="E568" s="72">
        <v>2</v>
      </c>
      <c r="F568" s="21">
        <f t="shared" si="38"/>
        <v>16000</v>
      </c>
      <c r="H568" s="12">
        <v>564</v>
      </c>
    </row>
    <row r="569" spans="1:8" s="5" customFormat="1">
      <c r="A569" s="57">
        <v>11</v>
      </c>
      <c r="B569" s="58" t="s">
        <v>87</v>
      </c>
      <c r="C569" s="59" t="str">
        <f>Gia_VLieu!C14</f>
        <v>cái</v>
      </c>
      <c r="D569" s="87">
        <f>Gia_VLieu!D14</f>
        <v>15000</v>
      </c>
      <c r="E569" s="73">
        <v>10</v>
      </c>
      <c r="F569" s="55">
        <f>D569*E569</f>
        <v>150000</v>
      </c>
      <c r="H569" s="12">
        <v>565</v>
      </c>
    </row>
    <row r="570" spans="1:8" s="5" customFormat="1">
      <c r="A570" s="15" t="e">
        <f>#REF!</f>
        <v>#REF!</v>
      </c>
      <c r="B570" s="7" t="e">
        <f>#REF!</f>
        <v>#REF!</v>
      </c>
      <c r="C570" s="8"/>
      <c r="D570" s="151">
        <f>Gia_VLieu!D$16</f>
        <v>1</v>
      </c>
      <c r="E570" s="63"/>
      <c r="F570" s="23">
        <f>SUM(F571:F581)*D570</f>
        <v>580000</v>
      </c>
      <c r="H570" s="12">
        <v>566</v>
      </c>
    </row>
    <row r="571" spans="1:8" s="5" customFormat="1">
      <c r="A571" s="15">
        <v>1</v>
      </c>
      <c r="B571" s="7" t="s">
        <v>77</v>
      </c>
      <c r="C571" s="8" t="str">
        <f>Gia_VLieu!C4</f>
        <v>gram</v>
      </c>
      <c r="D571" s="86">
        <f>Gia_VLieu!D4</f>
        <v>45000</v>
      </c>
      <c r="E571" s="72">
        <v>2</v>
      </c>
      <c r="F571" s="21">
        <f>D571*E571</f>
        <v>90000</v>
      </c>
      <c r="H571" s="12">
        <v>567</v>
      </c>
    </row>
    <row r="572" spans="1:8" s="5" customFormat="1">
      <c r="A572" s="15">
        <v>2</v>
      </c>
      <c r="B572" s="7" t="s">
        <v>78</v>
      </c>
      <c r="C572" s="8" t="str">
        <f>Gia_VLieu!C5</f>
        <v>hộp</v>
      </c>
      <c r="D572" s="86">
        <f>Gia_VLieu!D5</f>
        <v>1450000</v>
      </c>
      <c r="E572" s="72">
        <v>0.02</v>
      </c>
      <c r="F572" s="21">
        <f t="shared" ref="F572:F580" si="39">D572*E572</f>
        <v>29000</v>
      </c>
      <c r="H572" s="12">
        <v>568</v>
      </c>
    </row>
    <row r="573" spans="1:8" s="5" customFormat="1">
      <c r="A573" s="15">
        <v>3</v>
      </c>
      <c r="B573" s="7" t="s">
        <v>79</v>
      </c>
      <c r="C573" s="8" t="str">
        <f>Gia_VLieu!C6</f>
        <v>hộp</v>
      </c>
      <c r="D573" s="86">
        <f>Gia_VLieu!D6</f>
        <v>250000</v>
      </c>
      <c r="E573" s="72">
        <v>0.02</v>
      </c>
      <c r="F573" s="21">
        <f t="shared" si="39"/>
        <v>5000</v>
      </c>
      <c r="H573" s="12">
        <v>569</v>
      </c>
    </row>
    <row r="574" spans="1:8" s="5" customFormat="1">
      <c r="A574" s="15">
        <v>4</v>
      </c>
      <c r="B574" s="7" t="s">
        <v>80</v>
      </c>
      <c r="C574" s="8" t="str">
        <f>Gia_VLieu!C7</f>
        <v>quyển</v>
      </c>
      <c r="D574" s="86">
        <f>Gia_VLieu!D7</f>
        <v>10000</v>
      </c>
      <c r="E574" s="72">
        <v>5</v>
      </c>
      <c r="F574" s="21">
        <f t="shared" si="39"/>
        <v>50000</v>
      </c>
      <c r="H574" s="12">
        <v>570</v>
      </c>
    </row>
    <row r="575" spans="1:8" s="5" customFormat="1">
      <c r="A575" s="15">
        <v>5</v>
      </c>
      <c r="B575" s="7" t="s">
        <v>21</v>
      </c>
      <c r="C575" s="8" t="str">
        <f>Gia_VLieu!C8</f>
        <v>cái</v>
      </c>
      <c r="D575" s="86">
        <f>Gia_VLieu!D8</f>
        <v>2000</v>
      </c>
      <c r="E575" s="72">
        <v>6</v>
      </c>
      <c r="F575" s="21">
        <f t="shared" si="39"/>
        <v>12000</v>
      </c>
      <c r="H575" s="12">
        <v>571</v>
      </c>
    </row>
    <row r="576" spans="1:8" s="5" customFormat="1">
      <c r="A576" s="15">
        <v>6</v>
      </c>
      <c r="B576" s="7" t="s">
        <v>82</v>
      </c>
      <c r="C576" s="8" t="str">
        <f>Gia_VLieu!C9</f>
        <v>cái</v>
      </c>
      <c r="D576" s="86">
        <f>Gia_VLieu!D9</f>
        <v>8000</v>
      </c>
      <c r="E576" s="72">
        <v>12</v>
      </c>
      <c r="F576" s="21">
        <f t="shared" si="39"/>
        <v>96000</v>
      </c>
      <c r="H576" s="12">
        <v>572</v>
      </c>
    </row>
    <row r="577" spans="1:8" s="5" customFormat="1">
      <c r="A577" s="15">
        <v>7</v>
      </c>
      <c r="B577" s="7" t="s">
        <v>83</v>
      </c>
      <c r="C577" s="8" t="str">
        <f>Gia_VLieu!C10</f>
        <v>cái</v>
      </c>
      <c r="D577" s="86">
        <f>Gia_VLieu!D10</f>
        <v>10000</v>
      </c>
      <c r="E577" s="72">
        <v>14</v>
      </c>
      <c r="F577" s="21">
        <f t="shared" si="39"/>
        <v>140000</v>
      </c>
      <c r="H577" s="12">
        <v>573</v>
      </c>
    </row>
    <row r="578" spans="1:8" s="5" customFormat="1">
      <c r="A578" s="15">
        <v>8</v>
      </c>
      <c r="B578" s="7" t="s">
        <v>84</v>
      </c>
      <c r="C578" s="8" t="str">
        <f>Gia_VLieu!C11</f>
        <v>hộp</v>
      </c>
      <c r="D578" s="86">
        <f>Gia_VLieu!D11</f>
        <v>2500</v>
      </c>
      <c r="E578" s="72">
        <v>4</v>
      </c>
      <c r="F578" s="21">
        <f t="shared" si="39"/>
        <v>10000</v>
      </c>
      <c r="H578" s="12">
        <v>574</v>
      </c>
    </row>
    <row r="579" spans="1:8" s="5" customFormat="1">
      <c r="A579" s="15">
        <v>9</v>
      </c>
      <c r="B579" s="7" t="s">
        <v>85</v>
      </c>
      <c r="C579" s="8" t="str">
        <f>Gia_VLieu!C12</f>
        <v>hộp</v>
      </c>
      <c r="D579" s="86">
        <f>Gia_VLieu!D12</f>
        <v>2000</v>
      </c>
      <c r="E579" s="72">
        <v>2</v>
      </c>
      <c r="F579" s="21">
        <f t="shared" si="39"/>
        <v>4000</v>
      </c>
      <c r="H579" s="12">
        <v>575</v>
      </c>
    </row>
    <row r="580" spans="1:8" s="5" customFormat="1">
      <c r="A580" s="15">
        <v>10</v>
      </c>
      <c r="B580" s="7" t="s">
        <v>86</v>
      </c>
      <c r="C580" s="8" t="str">
        <f>Gia_VLieu!C13</f>
        <v>tập</v>
      </c>
      <c r="D580" s="86">
        <f>Gia_VLieu!D13</f>
        <v>8000</v>
      </c>
      <c r="E580" s="72">
        <v>3</v>
      </c>
      <c r="F580" s="21">
        <f t="shared" si="39"/>
        <v>24000</v>
      </c>
      <c r="H580" s="12">
        <v>576</v>
      </c>
    </row>
    <row r="581" spans="1:8" s="5" customFormat="1">
      <c r="A581" s="57">
        <v>11</v>
      </c>
      <c r="B581" s="58" t="s">
        <v>87</v>
      </c>
      <c r="C581" s="59" t="str">
        <f>Gia_VLieu!C14</f>
        <v>cái</v>
      </c>
      <c r="D581" s="87">
        <f>Gia_VLieu!D14</f>
        <v>15000</v>
      </c>
      <c r="E581" s="73">
        <v>8</v>
      </c>
      <c r="F581" s="55">
        <f>D581*E581</f>
        <v>120000</v>
      </c>
      <c r="H581" s="12">
        <v>577</v>
      </c>
    </row>
    <row r="582" spans="1:8" s="46" customFormat="1">
      <c r="A582" s="44" t="e">
        <f>#REF!</f>
        <v>#REF!</v>
      </c>
      <c r="B582" s="45" t="e">
        <f>#REF!</f>
        <v>#REF!</v>
      </c>
      <c r="C582" s="20"/>
      <c r="D582" s="90"/>
      <c r="E582" s="63"/>
      <c r="F582" s="23"/>
      <c r="H582" s="12">
        <v>578</v>
      </c>
    </row>
    <row r="583" spans="1:8" s="5" customFormat="1">
      <c r="A583" s="15" t="e">
        <f>#REF!</f>
        <v>#REF!</v>
      </c>
      <c r="B583" s="7" t="e">
        <f>#REF!</f>
        <v>#REF!</v>
      </c>
      <c r="C583" s="8"/>
      <c r="D583" s="86"/>
      <c r="E583" s="43"/>
      <c r="F583" s="21"/>
      <c r="H583" s="12">
        <v>579</v>
      </c>
    </row>
    <row r="584" spans="1:8" s="11" customFormat="1">
      <c r="A584" s="29" t="e">
        <f>#REF!</f>
        <v>#REF!</v>
      </c>
      <c r="B584" s="135" t="e">
        <f>#REF!</f>
        <v>#REF!</v>
      </c>
      <c r="C584" s="136"/>
      <c r="D584" s="136"/>
      <c r="E584" s="136"/>
      <c r="F584" s="137"/>
      <c r="H584" s="12">
        <v>580</v>
      </c>
    </row>
    <row r="585" spans="1:8" s="46" customFormat="1">
      <c r="A585" s="44" t="e">
        <f>#REF!</f>
        <v>#REF!</v>
      </c>
      <c r="B585" s="45" t="e">
        <f>#REF!</f>
        <v>#REF!</v>
      </c>
      <c r="C585" s="20"/>
      <c r="D585" s="151">
        <f>Gia_VLieu!D$16</f>
        <v>1</v>
      </c>
      <c r="E585" s="63"/>
      <c r="F585" s="23">
        <f>SUM(F586:F596)*D585</f>
        <v>1379000</v>
      </c>
      <c r="H585" s="12">
        <v>581</v>
      </c>
    </row>
    <row r="586" spans="1:8" s="5" customFormat="1">
      <c r="A586" s="15">
        <v>1</v>
      </c>
      <c r="B586" s="7" t="s">
        <v>77</v>
      </c>
      <c r="C586" s="8" t="str">
        <f>Gia_VLieu!C4</f>
        <v>gram</v>
      </c>
      <c r="D586" s="86">
        <f>Gia_VLieu!D4</f>
        <v>45000</v>
      </c>
      <c r="E586" s="72">
        <v>4</v>
      </c>
      <c r="F586" s="21">
        <f>D586*E586</f>
        <v>180000</v>
      </c>
      <c r="H586" s="12">
        <v>582</v>
      </c>
    </row>
    <row r="587" spans="1:8" s="5" customFormat="1">
      <c r="A587" s="15">
        <v>2</v>
      </c>
      <c r="B587" s="7" t="s">
        <v>78</v>
      </c>
      <c r="C587" s="8" t="str">
        <f>Gia_VLieu!C5</f>
        <v>hộp</v>
      </c>
      <c r="D587" s="86">
        <f>Gia_VLieu!D5</f>
        <v>1450000</v>
      </c>
      <c r="E587" s="72">
        <v>0.3</v>
      </c>
      <c r="F587" s="21">
        <f t="shared" ref="F587:F595" si="40">D587*E587</f>
        <v>435000</v>
      </c>
      <c r="H587" s="12">
        <v>583</v>
      </c>
    </row>
    <row r="588" spans="1:8" s="5" customFormat="1">
      <c r="A588" s="15">
        <v>3</v>
      </c>
      <c r="B588" s="7" t="s">
        <v>79</v>
      </c>
      <c r="C588" s="8" t="str">
        <f>Gia_VLieu!C6</f>
        <v>hộp</v>
      </c>
      <c r="D588" s="86">
        <f>Gia_VLieu!D6</f>
        <v>250000</v>
      </c>
      <c r="E588" s="72">
        <v>0.2</v>
      </c>
      <c r="F588" s="21">
        <f t="shared" si="40"/>
        <v>50000</v>
      </c>
      <c r="H588" s="12">
        <v>584</v>
      </c>
    </row>
    <row r="589" spans="1:8" s="5" customFormat="1">
      <c r="A589" s="15">
        <v>4</v>
      </c>
      <c r="B589" s="7" t="s">
        <v>80</v>
      </c>
      <c r="C589" s="8" t="str">
        <f>Gia_VLieu!C7</f>
        <v>quyển</v>
      </c>
      <c r="D589" s="86">
        <f>Gia_VLieu!D7</f>
        <v>10000</v>
      </c>
      <c r="E589" s="72">
        <v>12</v>
      </c>
      <c r="F589" s="21">
        <f t="shared" si="40"/>
        <v>120000</v>
      </c>
      <c r="H589" s="12">
        <v>585</v>
      </c>
    </row>
    <row r="590" spans="1:8" s="5" customFormat="1">
      <c r="A590" s="15">
        <v>5</v>
      </c>
      <c r="B590" s="7" t="s">
        <v>21</v>
      </c>
      <c r="C590" s="8" t="str">
        <f>Gia_VLieu!C8</f>
        <v>cái</v>
      </c>
      <c r="D590" s="86">
        <f>Gia_VLieu!D8</f>
        <v>2000</v>
      </c>
      <c r="E590" s="72">
        <v>25</v>
      </c>
      <c r="F590" s="21">
        <f t="shared" si="40"/>
        <v>50000</v>
      </c>
      <c r="H590" s="12">
        <v>586</v>
      </c>
    </row>
    <row r="591" spans="1:8" s="5" customFormat="1">
      <c r="A591" s="15">
        <v>6</v>
      </c>
      <c r="B591" s="7" t="s">
        <v>82</v>
      </c>
      <c r="C591" s="8" t="str">
        <f>Gia_VLieu!C9</f>
        <v>cái</v>
      </c>
      <c r="D591" s="86">
        <f>Gia_VLieu!D9</f>
        <v>8000</v>
      </c>
      <c r="E591" s="72">
        <v>20</v>
      </c>
      <c r="F591" s="21">
        <f t="shared" si="40"/>
        <v>160000</v>
      </c>
      <c r="H591" s="12">
        <v>587</v>
      </c>
    </row>
    <row r="592" spans="1:8" s="5" customFormat="1">
      <c r="A592" s="15">
        <v>7</v>
      </c>
      <c r="B592" s="7" t="s">
        <v>83</v>
      </c>
      <c r="C592" s="8" t="str">
        <f>Gia_VLieu!C10</f>
        <v>cái</v>
      </c>
      <c r="D592" s="86">
        <f>Gia_VLieu!D10</f>
        <v>10000</v>
      </c>
      <c r="E592" s="72">
        <v>20</v>
      </c>
      <c r="F592" s="21">
        <f t="shared" si="40"/>
        <v>200000</v>
      </c>
      <c r="H592" s="12">
        <v>588</v>
      </c>
    </row>
    <row r="593" spans="1:8" s="5" customFormat="1">
      <c r="A593" s="15">
        <v>8</v>
      </c>
      <c r="B593" s="7" t="s">
        <v>84</v>
      </c>
      <c r="C593" s="8" t="str">
        <f>Gia_VLieu!C11</f>
        <v>hộp</v>
      </c>
      <c r="D593" s="86">
        <f>Gia_VLieu!D11</f>
        <v>2500</v>
      </c>
      <c r="E593" s="72">
        <v>8</v>
      </c>
      <c r="F593" s="21">
        <f t="shared" si="40"/>
        <v>20000</v>
      </c>
      <c r="H593" s="12">
        <v>589</v>
      </c>
    </row>
    <row r="594" spans="1:8" s="5" customFormat="1">
      <c r="A594" s="15">
        <v>9</v>
      </c>
      <c r="B594" s="7" t="s">
        <v>85</v>
      </c>
      <c r="C594" s="8" t="str">
        <f>Gia_VLieu!C12</f>
        <v>hộp</v>
      </c>
      <c r="D594" s="86">
        <f>Gia_VLieu!D12</f>
        <v>2000</v>
      </c>
      <c r="E594" s="72">
        <v>2</v>
      </c>
      <c r="F594" s="21">
        <f t="shared" si="40"/>
        <v>4000</v>
      </c>
      <c r="H594" s="12">
        <v>590</v>
      </c>
    </row>
    <row r="595" spans="1:8" s="5" customFormat="1">
      <c r="A595" s="15">
        <v>10</v>
      </c>
      <c r="B595" s="7" t="s">
        <v>86</v>
      </c>
      <c r="C595" s="8" t="str">
        <f>Gia_VLieu!C13</f>
        <v>tập</v>
      </c>
      <c r="D595" s="86">
        <f>Gia_VLieu!D13</f>
        <v>8000</v>
      </c>
      <c r="E595" s="72">
        <v>5</v>
      </c>
      <c r="F595" s="21">
        <f t="shared" si="40"/>
        <v>40000</v>
      </c>
      <c r="H595" s="12">
        <v>591</v>
      </c>
    </row>
    <row r="596" spans="1:8" s="5" customFormat="1">
      <c r="A596" s="57">
        <v>11</v>
      </c>
      <c r="B596" s="58" t="s">
        <v>87</v>
      </c>
      <c r="C596" s="59" t="str">
        <f>Gia_VLieu!C14</f>
        <v>cái</v>
      </c>
      <c r="D596" s="87">
        <f>Gia_VLieu!D14</f>
        <v>15000</v>
      </c>
      <c r="E596" s="73">
        <v>8</v>
      </c>
      <c r="F596" s="55">
        <f>D596*E596</f>
        <v>120000</v>
      </c>
      <c r="H596" s="12">
        <v>592</v>
      </c>
    </row>
    <row r="597" spans="1:8" s="46" customFormat="1">
      <c r="A597" s="44" t="e">
        <f>#REF!</f>
        <v>#REF!</v>
      </c>
      <c r="B597" s="45" t="e">
        <f>#REF!</f>
        <v>#REF!</v>
      </c>
      <c r="C597" s="20"/>
      <c r="D597" s="151">
        <f>Gia_VLieu!D$16</f>
        <v>1</v>
      </c>
      <c r="E597" s="63"/>
      <c r="F597" s="23">
        <f>SUM(F598:F608)*D597</f>
        <v>1519000</v>
      </c>
      <c r="H597" s="12">
        <v>593</v>
      </c>
    </row>
    <row r="598" spans="1:8" s="5" customFormat="1">
      <c r="A598" s="15">
        <v>1</v>
      </c>
      <c r="B598" s="7" t="s">
        <v>77</v>
      </c>
      <c r="C598" s="8" t="str">
        <f>Gia_VLieu!C4</f>
        <v>gram</v>
      </c>
      <c r="D598" s="86">
        <f>Gia_VLieu!D4</f>
        <v>45000</v>
      </c>
      <c r="E598" s="72">
        <v>5</v>
      </c>
      <c r="F598" s="21">
        <f>D598*E598</f>
        <v>225000</v>
      </c>
      <c r="H598" s="12">
        <v>594</v>
      </c>
    </row>
    <row r="599" spans="1:8" s="5" customFormat="1">
      <c r="A599" s="15">
        <v>2</v>
      </c>
      <c r="B599" s="7" t="s">
        <v>78</v>
      </c>
      <c r="C599" s="8" t="str">
        <f>Gia_VLieu!C5</f>
        <v>hộp</v>
      </c>
      <c r="D599" s="86">
        <f>Gia_VLieu!D5</f>
        <v>1450000</v>
      </c>
      <c r="E599" s="72">
        <v>0.2</v>
      </c>
      <c r="F599" s="21">
        <f t="shared" ref="F599:F607" si="41">D599*E599</f>
        <v>290000</v>
      </c>
      <c r="H599" s="12">
        <v>595</v>
      </c>
    </row>
    <row r="600" spans="1:8" s="5" customFormat="1">
      <c r="A600" s="15">
        <v>3</v>
      </c>
      <c r="B600" s="7" t="s">
        <v>79</v>
      </c>
      <c r="C600" s="8" t="str">
        <f>Gia_VLieu!C6</f>
        <v>hộp</v>
      </c>
      <c r="D600" s="86">
        <f>Gia_VLieu!D6</f>
        <v>250000</v>
      </c>
      <c r="E600" s="72">
        <v>0.3</v>
      </c>
      <c r="F600" s="21">
        <f t="shared" si="41"/>
        <v>75000</v>
      </c>
      <c r="H600" s="12">
        <v>596</v>
      </c>
    </row>
    <row r="601" spans="1:8" s="5" customFormat="1">
      <c r="A601" s="15">
        <v>4</v>
      </c>
      <c r="B601" s="7" t="s">
        <v>80</v>
      </c>
      <c r="C601" s="8" t="str">
        <f>Gia_VLieu!C7</f>
        <v>quyển</v>
      </c>
      <c r="D601" s="86">
        <f>Gia_VLieu!D7</f>
        <v>10000</v>
      </c>
      <c r="E601" s="72">
        <v>8</v>
      </c>
      <c r="F601" s="21">
        <f t="shared" si="41"/>
        <v>80000</v>
      </c>
      <c r="H601" s="12">
        <v>597</v>
      </c>
    </row>
    <row r="602" spans="1:8" s="5" customFormat="1">
      <c r="A602" s="15">
        <v>5</v>
      </c>
      <c r="B602" s="7" t="s">
        <v>21</v>
      </c>
      <c r="C602" s="8" t="str">
        <f>Gia_VLieu!C8</f>
        <v>cái</v>
      </c>
      <c r="D602" s="86">
        <f>Gia_VLieu!D8</f>
        <v>2000</v>
      </c>
      <c r="E602" s="72">
        <v>20</v>
      </c>
      <c r="F602" s="21">
        <f t="shared" si="41"/>
        <v>40000</v>
      </c>
      <c r="H602" s="12">
        <v>598</v>
      </c>
    </row>
    <row r="603" spans="1:8" s="5" customFormat="1">
      <c r="A603" s="15">
        <v>6</v>
      </c>
      <c r="B603" s="7" t="s">
        <v>82</v>
      </c>
      <c r="C603" s="8" t="str">
        <f>Gia_VLieu!C9</f>
        <v>cái</v>
      </c>
      <c r="D603" s="86">
        <f>Gia_VLieu!D9</f>
        <v>8000</v>
      </c>
      <c r="E603" s="72">
        <v>25</v>
      </c>
      <c r="F603" s="21">
        <f t="shared" si="41"/>
        <v>200000</v>
      </c>
      <c r="H603" s="12">
        <v>599</v>
      </c>
    </row>
    <row r="604" spans="1:8" s="5" customFormat="1">
      <c r="A604" s="15">
        <v>7</v>
      </c>
      <c r="B604" s="7" t="s">
        <v>83</v>
      </c>
      <c r="C604" s="8" t="str">
        <f>Gia_VLieu!C10</f>
        <v>cái</v>
      </c>
      <c r="D604" s="86">
        <f>Gia_VLieu!D10</f>
        <v>10000</v>
      </c>
      <c r="E604" s="72">
        <v>25</v>
      </c>
      <c r="F604" s="21">
        <f t="shared" si="41"/>
        <v>250000</v>
      </c>
      <c r="H604" s="12">
        <v>600</v>
      </c>
    </row>
    <row r="605" spans="1:8" s="5" customFormat="1">
      <c r="A605" s="15">
        <v>8</v>
      </c>
      <c r="B605" s="7" t="s">
        <v>84</v>
      </c>
      <c r="C605" s="8" t="str">
        <f>Gia_VLieu!C11</f>
        <v>hộp</v>
      </c>
      <c r="D605" s="86">
        <f>Gia_VLieu!D11</f>
        <v>2500</v>
      </c>
      <c r="E605" s="72">
        <v>6</v>
      </c>
      <c r="F605" s="21">
        <f t="shared" si="41"/>
        <v>15000</v>
      </c>
      <c r="H605" s="12">
        <v>601</v>
      </c>
    </row>
    <row r="606" spans="1:8" s="5" customFormat="1">
      <c r="A606" s="15">
        <v>9</v>
      </c>
      <c r="B606" s="7" t="s">
        <v>85</v>
      </c>
      <c r="C606" s="8" t="str">
        <f>Gia_VLieu!C12</f>
        <v>hộp</v>
      </c>
      <c r="D606" s="86">
        <f>Gia_VLieu!D12</f>
        <v>2000</v>
      </c>
      <c r="E606" s="72">
        <v>6</v>
      </c>
      <c r="F606" s="21">
        <f t="shared" si="41"/>
        <v>12000</v>
      </c>
      <c r="H606" s="12">
        <v>602</v>
      </c>
    </row>
    <row r="607" spans="1:8" s="5" customFormat="1">
      <c r="A607" s="15">
        <v>10</v>
      </c>
      <c r="B607" s="7" t="s">
        <v>86</v>
      </c>
      <c r="C607" s="8" t="str">
        <f>Gia_VLieu!C13</f>
        <v>tập</v>
      </c>
      <c r="D607" s="86">
        <f>Gia_VLieu!D13</f>
        <v>8000</v>
      </c>
      <c r="E607" s="72">
        <v>4</v>
      </c>
      <c r="F607" s="21">
        <f t="shared" si="41"/>
        <v>32000</v>
      </c>
      <c r="H607" s="12">
        <v>603</v>
      </c>
    </row>
    <row r="608" spans="1:8" s="5" customFormat="1">
      <c r="A608" s="57">
        <v>11</v>
      </c>
      <c r="B608" s="58" t="s">
        <v>87</v>
      </c>
      <c r="C608" s="59" t="str">
        <f>Gia_VLieu!C14</f>
        <v>cái</v>
      </c>
      <c r="D608" s="87">
        <f>Gia_VLieu!D14</f>
        <v>15000</v>
      </c>
      <c r="E608" s="73">
        <v>20</v>
      </c>
      <c r="F608" s="55">
        <f>D608*E608</f>
        <v>300000</v>
      </c>
      <c r="H608" s="12">
        <v>604</v>
      </c>
    </row>
    <row r="609" spans="1:8" s="46" customFormat="1">
      <c r="A609" s="44" t="e">
        <f>#REF!</f>
        <v>#REF!</v>
      </c>
      <c r="B609" s="45" t="e">
        <f>#REF!</f>
        <v>#REF!</v>
      </c>
      <c r="C609" s="20"/>
      <c r="D609" s="90"/>
      <c r="E609" s="63"/>
      <c r="F609" s="23"/>
      <c r="H609" s="12">
        <v>605</v>
      </c>
    </row>
    <row r="610" spans="1:8" s="5" customFormat="1">
      <c r="A610" s="15" t="e">
        <f>#REF!</f>
        <v>#REF!</v>
      </c>
      <c r="B610" s="7" t="e">
        <f>#REF!</f>
        <v>#REF!</v>
      </c>
      <c r="C610" s="8"/>
      <c r="D610" s="151">
        <f>Gia_VLieu!D$16</f>
        <v>1</v>
      </c>
      <c r="E610" s="63"/>
      <c r="F610" s="23">
        <f>SUM(F611:F621)*D610</f>
        <v>1159500</v>
      </c>
      <c r="H610" s="12">
        <v>606</v>
      </c>
    </row>
    <row r="611" spans="1:8" s="5" customFormat="1">
      <c r="A611" s="15">
        <v>1</v>
      </c>
      <c r="B611" s="7" t="s">
        <v>77</v>
      </c>
      <c r="C611" s="8" t="str">
        <f>Gia_VLieu!C4</f>
        <v>gram</v>
      </c>
      <c r="D611" s="86">
        <f>Gia_VLieu!D4</f>
        <v>45000</v>
      </c>
      <c r="E611" s="72">
        <v>2</v>
      </c>
      <c r="F611" s="21">
        <f>D611*E611</f>
        <v>90000</v>
      </c>
      <c r="H611" s="12">
        <v>607</v>
      </c>
    </row>
    <row r="612" spans="1:8" s="5" customFormat="1">
      <c r="A612" s="15">
        <v>2</v>
      </c>
      <c r="B612" s="7" t="s">
        <v>78</v>
      </c>
      <c r="C612" s="8" t="str">
        <f>Gia_VLieu!C5</f>
        <v>hộp</v>
      </c>
      <c r="D612" s="86">
        <f>Gia_VLieu!D5</f>
        <v>1450000</v>
      </c>
      <c r="E612" s="72">
        <v>0.1</v>
      </c>
      <c r="F612" s="21">
        <f t="shared" ref="F612:F620" si="42">D612*E612</f>
        <v>145000</v>
      </c>
      <c r="H612" s="12">
        <v>608</v>
      </c>
    </row>
    <row r="613" spans="1:8" s="5" customFormat="1">
      <c r="A613" s="15">
        <v>3</v>
      </c>
      <c r="B613" s="7" t="s">
        <v>79</v>
      </c>
      <c r="C613" s="8" t="str">
        <f>Gia_VLieu!C6</f>
        <v>hộp</v>
      </c>
      <c r="D613" s="86">
        <f>Gia_VLieu!D6</f>
        <v>250000</v>
      </c>
      <c r="E613" s="72">
        <v>0.2</v>
      </c>
      <c r="F613" s="21">
        <f t="shared" si="42"/>
        <v>50000</v>
      </c>
      <c r="H613" s="12">
        <v>609</v>
      </c>
    </row>
    <row r="614" spans="1:8" s="5" customFormat="1">
      <c r="A614" s="15">
        <v>4</v>
      </c>
      <c r="B614" s="7" t="s">
        <v>80</v>
      </c>
      <c r="C614" s="8" t="str">
        <f>Gia_VLieu!C7</f>
        <v>quyển</v>
      </c>
      <c r="D614" s="86">
        <f>Gia_VLieu!D7</f>
        <v>10000</v>
      </c>
      <c r="E614" s="72">
        <v>6</v>
      </c>
      <c r="F614" s="21">
        <f t="shared" si="42"/>
        <v>60000</v>
      </c>
      <c r="H614" s="12">
        <v>610</v>
      </c>
    </row>
    <row r="615" spans="1:8" s="5" customFormat="1">
      <c r="A615" s="15">
        <v>5</v>
      </c>
      <c r="B615" s="7" t="s">
        <v>21</v>
      </c>
      <c r="C615" s="8" t="str">
        <f>Gia_VLieu!C8</f>
        <v>cái</v>
      </c>
      <c r="D615" s="86">
        <f>Gia_VLieu!D8</f>
        <v>2000</v>
      </c>
      <c r="E615" s="72">
        <v>15</v>
      </c>
      <c r="F615" s="21">
        <f t="shared" si="42"/>
        <v>30000</v>
      </c>
      <c r="H615" s="12">
        <v>611</v>
      </c>
    </row>
    <row r="616" spans="1:8" s="5" customFormat="1">
      <c r="A616" s="15">
        <v>6</v>
      </c>
      <c r="B616" s="7" t="s">
        <v>82</v>
      </c>
      <c r="C616" s="8" t="str">
        <f>Gia_VLieu!C9</f>
        <v>cái</v>
      </c>
      <c r="D616" s="86">
        <f>Gia_VLieu!D9</f>
        <v>8000</v>
      </c>
      <c r="E616" s="72">
        <v>24</v>
      </c>
      <c r="F616" s="21">
        <f t="shared" si="42"/>
        <v>192000</v>
      </c>
      <c r="H616" s="12">
        <v>612</v>
      </c>
    </row>
    <row r="617" spans="1:8" s="5" customFormat="1">
      <c r="A617" s="15">
        <v>7</v>
      </c>
      <c r="B617" s="7" t="s">
        <v>83</v>
      </c>
      <c r="C617" s="8" t="str">
        <f>Gia_VLieu!C10</f>
        <v>cái</v>
      </c>
      <c r="D617" s="86">
        <f>Gia_VLieu!D10</f>
        <v>10000</v>
      </c>
      <c r="E617" s="72">
        <v>24</v>
      </c>
      <c r="F617" s="21">
        <f t="shared" si="42"/>
        <v>240000</v>
      </c>
      <c r="H617" s="12">
        <v>613</v>
      </c>
    </row>
    <row r="618" spans="1:8" s="5" customFormat="1">
      <c r="A618" s="15">
        <v>8</v>
      </c>
      <c r="B618" s="7" t="s">
        <v>84</v>
      </c>
      <c r="C618" s="8" t="str">
        <f>Gia_VLieu!C11</f>
        <v>hộp</v>
      </c>
      <c r="D618" s="86">
        <f>Gia_VLieu!D11</f>
        <v>2500</v>
      </c>
      <c r="E618" s="72">
        <v>5</v>
      </c>
      <c r="F618" s="21">
        <f t="shared" si="42"/>
        <v>12500</v>
      </c>
      <c r="H618" s="12">
        <v>614</v>
      </c>
    </row>
    <row r="619" spans="1:8" s="5" customFormat="1">
      <c r="A619" s="15">
        <v>9</v>
      </c>
      <c r="B619" s="7" t="s">
        <v>85</v>
      </c>
      <c r="C619" s="8" t="str">
        <f>Gia_VLieu!C12</f>
        <v>hộp</v>
      </c>
      <c r="D619" s="86">
        <f>Gia_VLieu!D12</f>
        <v>2000</v>
      </c>
      <c r="E619" s="72">
        <v>4</v>
      </c>
      <c r="F619" s="21">
        <f t="shared" si="42"/>
        <v>8000</v>
      </c>
      <c r="H619" s="12">
        <v>615</v>
      </c>
    </row>
    <row r="620" spans="1:8" s="5" customFormat="1">
      <c r="A620" s="15">
        <v>10</v>
      </c>
      <c r="B620" s="7" t="s">
        <v>86</v>
      </c>
      <c r="C620" s="8" t="str">
        <f>Gia_VLieu!C13</f>
        <v>tập</v>
      </c>
      <c r="D620" s="86">
        <f>Gia_VLieu!D13</f>
        <v>8000</v>
      </c>
      <c r="E620" s="72">
        <v>4</v>
      </c>
      <c r="F620" s="21">
        <f t="shared" si="42"/>
        <v>32000</v>
      </c>
      <c r="H620" s="12">
        <v>616</v>
      </c>
    </row>
    <row r="621" spans="1:8" s="5" customFormat="1">
      <c r="A621" s="57">
        <v>11</v>
      </c>
      <c r="B621" s="58" t="s">
        <v>87</v>
      </c>
      <c r="C621" s="59" t="str">
        <f>Gia_VLieu!C14</f>
        <v>cái</v>
      </c>
      <c r="D621" s="87">
        <f>Gia_VLieu!D14</f>
        <v>15000</v>
      </c>
      <c r="E621" s="73">
        <v>20</v>
      </c>
      <c r="F621" s="55">
        <f>D621*E621</f>
        <v>300000</v>
      </c>
      <c r="H621" s="12">
        <v>617</v>
      </c>
    </row>
    <row r="622" spans="1:8" s="5" customFormat="1">
      <c r="A622" s="15" t="e">
        <f>#REF!</f>
        <v>#REF!</v>
      </c>
      <c r="B622" s="7" t="e">
        <f>#REF!</f>
        <v>#REF!</v>
      </c>
      <c r="C622" s="8"/>
      <c r="D622" s="151">
        <f>Gia_VLieu!D$16</f>
        <v>1</v>
      </c>
      <c r="E622" s="63"/>
      <c r="F622" s="23">
        <f>SUM(F623:F633)*D622</f>
        <v>917500</v>
      </c>
      <c r="H622" s="12">
        <v>618</v>
      </c>
    </row>
    <row r="623" spans="1:8" s="5" customFormat="1">
      <c r="A623" s="15">
        <v>1</v>
      </c>
      <c r="B623" s="7" t="s">
        <v>77</v>
      </c>
      <c r="C623" s="8" t="str">
        <f>Gia_VLieu!C4</f>
        <v>gram</v>
      </c>
      <c r="D623" s="86">
        <f>Gia_VLieu!D4</f>
        <v>45000</v>
      </c>
      <c r="E623" s="72">
        <v>2</v>
      </c>
      <c r="F623" s="21">
        <f>D623*E623</f>
        <v>90000</v>
      </c>
      <c r="H623" s="12">
        <v>619</v>
      </c>
    </row>
    <row r="624" spans="1:8" s="5" customFormat="1">
      <c r="A624" s="15">
        <v>2</v>
      </c>
      <c r="B624" s="7" t="s">
        <v>78</v>
      </c>
      <c r="C624" s="8" t="str">
        <f>Gia_VLieu!C5</f>
        <v>hộp</v>
      </c>
      <c r="D624" s="86">
        <f>Gia_VLieu!D5</f>
        <v>1450000</v>
      </c>
      <c r="E624" s="72">
        <v>0.15</v>
      </c>
      <c r="F624" s="21">
        <f t="shared" ref="F624:F632" si="43">D624*E624</f>
        <v>217500</v>
      </c>
      <c r="H624" s="12">
        <v>620</v>
      </c>
    </row>
    <row r="625" spans="1:8" s="5" customFormat="1">
      <c r="A625" s="15">
        <v>3</v>
      </c>
      <c r="B625" s="7" t="s">
        <v>79</v>
      </c>
      <c r="C625" s="8" t="str">
        <f>Gia_VLieu!C6</f>
        <v>hộp</v>
      </c>
      <c r="D625" s="86">
        <f>Gia_VLieu!D6</f>
        <v>250000</v>
      </c>
      <c r="E625" s="72">
        <v>0.1</v>
      </c>
      <c r="F625" s="21">
        <f t="shared" si="43"/>
        <v>25000</v>
      </c>
      <c r="H625" s="12">
        <v>621</v>
      </c>
    </row>
    <row r="626" spans="1:8" s="5" customFormat="1">
      <c r="A626" s="15">
        <v>4</v>
      </c>
      <c r="B626" s="7" t="s">
        <v>80</v>
      </c>
      <c r="C626" s="8" t="str">
        <f>Gia_VLieu!C7</f>
        <v>quyển</v>
      </c>
      <c r="D626" s="86">
        <f>Gia_VLieu!D7</f>
        <v>10000</v>
      </c>
      <c r="E626" s="72">
        <v>8</v>
      </c>
      <c r="F626" s="21">
        <f t="shared" si="43"/>
        <v>80000</v>
      </c>
      <c r="H626" s="12">
        <v>622</v>
      </c>
    </row>
    <row r="627" spans="1:8" s="5" customFormat="1">
      <c r="A627" s="15">
        <v>5</v>
      </c>
      <c r="B627" s="7" t="s">
        <v>21</v>
      </c>
      <c r="C627" s="8" t="str">
        <f>Gia_VLieu!C8</f>
        <v>cái</v>
      </c>
      <c r="D627" s="86">
        <f>Gia_VLieu!D8</f>
        <v>2000</v>
      </c>
      <c r="E627" s="72">
        <v>12</v>
      </c>
      <c r="F627" s="21">
        <f t="shared" si="43"/>
        <v>24000</v>
      </c>
      <c r="H627" s="12">
        <v>623</v>
      </c>
    </row>
    <row r="628" spans="1:8" s="5" customFormat="1">
      <c r="A628" s="15">
        <v>6</v>
      </c>
      <c r="B628" s="7" t="s">
        <v>82</v>
      </c>
      <c r="C628" s="8" t="str">
        <f>Gia_VLieu!C9</f>
        <v>cái</v>
      </c>
      <c r="D628" s="86">
        <f>Gia_VLieu!D9</f>
        <v>8000</v>
      </c>
      <c r="E628" s="72">
        <v>12</v>
      </c>
      <c r="F628" s="21">
        <f t="shared" si="43"/>
        <v>96000</v>
      </c>
      <c r="H628" s="12">
        <v>624</v>
      </c>
    </row>
    <row r="629" spans="1:8" s="5" customFormat="1">
      <c r="A629" s="15">
        <v>7</v>
      </c>
      <c r="B629" s="7" t="s">
        <v>83</v>
      </c>
      <c r="C629" s="8" t="str">
        <f>Gia_VLieu!C10</f>
        <v>cái</v>
      </c>
      <c r="D629" s="86">
        <f>Gia_VLieu!D10</f>
        <v>10000</v>
      </c>
      <c r="E629" s="72">
        <v>12</v>
      </c>
      <c r="F629" s="21">
        <f t="shared" si="43"/>
        <v>120000</v>
      </c>
      <c r="H629" s="12">
        <v>625</v>
      </c>
    </row>
    <row r="630" spans="1:8" s="5" customFormat="1">
      <c r="A630" s="15">
        <v>8</v>
      </c>
      <c r="B630" s="7" t="s">
        <v>84</v>
      </c>
      <c r="C630" s="8" t="str">
        <f>Gia_VLieu!C11</f>
        <v>hộp</v>
      </c>
      <c r="D630" s="86">
        <f>Gia_VLieu!D11</f>
        <v>2500</v>
      </c>
      <c r="E630" s="72">
        <v>4</v>
      </c>
      <c r="F630" s="21">
        <f t="shared" si="43"/>
        <v>10000</v>
      </c>
      <c r="H630" s="12">
        <v>626</v>
      </c>
    </row>
    <row r="631" spans="1:8" s="5" customFormat="1">
      <c r="A631" s="15">
        <v>9</v>
      </c>
      <c r="B631" s="7" t="s">
        <v>85</v>
      </c>
      <c r="C631" s="8" t="str">
        <f>Gia_VLieu!C12</f>
        <v>hộp</v>
      </c>
      <c r="D631" s="86">
        <f>Gia_VLieu!D12</f>
        <v>2000</v>
      </c>
      <c r="E631" s="72">
        <v>3</v>
      </c>
      <c r="F631" s="21">
        <f t="shared" si="43"/>
        <v>6000</v>
      </c>
      <c r="H631" s="12">
        <v>627</v>
      </c>
    </row>
    <row r="632" spans="1:8" s="5" customFormat="1">
      <c r="A632" s="15">
        <v>10</v>
      </c>
      <c r="B632" s="7" t="s">
        <v>86</v>
      </c>
      <c r="C632" s="8" t="str">
        <f>Gia_VLieu!C13</f>
        <v>tập</v>
      </c>
      <c r="D632" s="86">
        <f>Gia_VLieu!D13</f>
        <v>8000</v>
      </c>
      <c r="E632" s="72">
        <v>3</v>
      </c>
      <c r="F632" s="21">
        <f t="shared" si="43"/>
        <v>24000</v>
      </c>
      <c r="H632" s="12">
        <v>628</v>
      </c>
    </row>
    <row r="633" spans="1:8" s="5" customFormat="1">
      <c r="A633" s="57">
        <v>11</v>
      </c>
      <c r="B633" s="58" t="s">
        <v>87</v>
      </c>
      <c r="C633" s="59" t="str">
        <f>Gia_VLieu!C14</f>
        <v>cái</v>
      </c>
      <c r="D633" s="87">
        <f>Gia_VLieu!D14</f>
        <v>15000</v>
      </c>
      <c r="E633" s="73">
        <v>15</v>
      </c>
      <c r="F633" s="55">
        <f>D633*E633</f>
        <v>225000</v>
      </c>
      <c r="H633" s="12">
        <v>629</v>
      </c>
    </row>
    <row r="634" spans="1:8" s="16" customFormat="1">
      <c r="A634" s="14" t="e">
        <f>#REF!</f>
        <v>#REF!</v>
      </c>
      <c r="B634" s="10" t="e">
        <f>#REF!</f>
        <v>#REF!</v>
      </c>
      <c r="C634" s="9"/>
      <c r="D634" s="92"/>
      <c r="E634" s="66"/>
      <c r="F634" s="22"/>
      <c r="H634" s="12">
        <v>630</v>
      </c>
    </row>
    <row r="635" spans="1:8" s="46" customFormat="1">
      <c r="A635" s="44" t="e">
        <f>#REF!</f>
        <v>#REF!</v>
      </c>
      <c r="B635" s="45" t="e">
        <f>#REF!</f>
        <v>#REF!</v>
      </c>
      <c r="C635" s="20"/>
      <c r="D635" s="90"/>
      <c r="E635" s="63"/>
      <c r="F635" s="23"/>
      <c r="H635" s="12">
        <v>631</v>
      </c>
    </row>
    <row r="636" spans="1:8" s="46" customFormat="1">
      <c r="A636" s="44" t="e">
        <f>#REF!</f>
        <v>#REF!</v>
      </c>
      <c r="B636" s="45" t="e">
        <f>#REF!</f>
        <v>#REF!</v>
      </c>
      <c r="C636" s="20"/>
      <c r="D636" s="151">
        <f>Gia_VLieu!D$16</f>
        <v>1</v>
      </c>
      <c r="E636" s="63"/>
      <c r="F636" s="23">
        <f>SUM(F637:F647)*D636</f>
        <v>744500</v>
      </c>
      <c r="H636" s="12">
        <v>632</v>
      </c>
    </row>
    <row r="637" spans="1:8" s="5" customFormat="1">
      <c r="A637" s="15">
        <v>1</v>
      </c>
      <c r="B637" s="7" t="s">
        <v>77</v>
      </c>
      <c r="C637" s="8" t="str">
        <f>Gia_VLieu!C4</f>
        <v>gram</v>
      </c>
      <c r="D637" s="86">
        <f>Gia_VLieu!D4</f>
        <v>45000</v>
      </c>
      <c r="E637" s="72">
        <v>2</v>
      </c>
      <c r="F637" s="21">
        <f>D637*E637</f>
        <v>90000</v>
      </c>
      <c r="H637" s="12">
        <v>633</v>
      </c>
    </row>
    <row r="638" spans="1:8" s="5" customFormat="1">
      <c r="A638" s="15">
        <v>2</v>
      </c>
      <c r="B638" s="7" t="s">
        <v>78</v>
      </c>
      <c r="C638" s="8" t="str">
        <f>Gia_VLieu!C5</f>
        <v>hộp</v>
      </c>
      <c r="D638" s="86">
        <f>Gia_VLieu!D5</f>
        <v>1450000</v>
      </c>
      <c r="E638" s="72">
        <v>0.1</v>
      </c>
      <c r="F638" s="21">
        <f t="shared" ref="F638:F646" si="44">D638*E638</f>
        <v>145000</v>
      </c>
      <c r="H638" s="12">
        <v>634</v>
      </c>
    </row>
    <row r="639" spans="1:8" s="5" customFormat="1">
      <c r="A639" s="15">
        <v>3</v>
      </c>
      <c r="B639" s="7" t="s">
        <v>79</v>
      </c>
      <c r="C639" s="8" t="str">
        <f>Gia_VLieu!C6</f>
        <v>hộp</v>
      </c>
      <c r="D639" s="86">
        <f>Gia_VLieu!D6</f>
        <v>250000</v>
      </c>
      <c r="E639" s="72">
        <v>0.2</v>
      </c>
      <c r="F639" s="21">
        <f t="shared" si="44"/>
        <v>50000</v>
      </c>
      <c r="H639" s="12">
        <v>635</v>
      </c>
    </row>
    <row r="640" spans="1:8" s="5" customFormat="1">
      <c r="A640" s="15">
        <v>4</v>
      </c>
      <c r="B640" s="7" t="s">
        <v>80</v>
      </c>
      <c r="C640" s="8" t="str">
        <f>Gia_VLieu!C7</f>
        <v>quyển</v>
      </c>
      <c r="D640" s="86">
        <f>Gia_VLieu!D7</f>
        <v>10000</v>
      </c>
      <c r="E640" s="72">
        <v>4</v>
      </c>
      <c r="F640" s="21">
        <f t="shared" si="44"/>
        <v>40000</v>
      </c>
      <c r="H640" s="12">
        <v>636</v>
      </c>
    </row>
    <row r="641" spans="1:8" s="5" customFormat="1">
      <c r="A641" s="15">
        <v>5</v>
      </c>
      <c r="B641" s="7" t="s">
        <v>21</v>
      </c>
      <c r="C641" s="8" t="str">
        <f>Gia_VLieu!C8</f>
        <v>cái</v>
      </c>
      <c r="D641" s="86">
        <f>Gia_VLieu!D8</f>
        <v>2000</v>
      </c>
      <c r="E641" s="72">
        <v>15</v>
      </c>
      <c r="F641" s="21">
        <f t="shared" si="44"/>
        <v>30000</v>
      </c>
      <c r="H641" s="12">
        <v>637</v>
      </c>
    </row>
    <row r="642" spans="1:8" s="5" customFormat="1">
      <c r="A642" s="15">
        <v>6</v>
      </c>
      <c r="B642" s="7" t="s">
        <v>82</v>
      </c>
      <c r="C642" s="8" t="str">
        <f>Gia_VLieu!C9</f>
        <v>cái</v>
      </c>
      <c r="D642" s="86">
        <f>Gia_VLieu!D9</f>
        <v>8000</v>
      </c>
      <c r="E642" s="72">
        <v>8</v>
      </c>
      <c r="F642" s="21">
        <f t="shared" si="44"/>
        <v>64000</v>
      </c>
      <c r="H642" s="12">
        <v>638</v>
      </c>
    </row>
    <row r="643" spans="1:8" s="5" customFormat="1">
      <c r="A643" s="15">
        <v>7</v>
      </c>
      <c r="B643" s="7" t="s">
        <v>83</v>
      </c>
      <c r="C643" s="8" t="str">
        <f>Gia_VLieu!C10</f>
        <v>cái</v>
      </c>
      <c r="D643" s="86">
        <f>Gia_VLieu!D10</f>
        <v>10000</v>
      </c>
      <c r="E643" s="72">
        <v>12</v>
      </c>
      <c r="F643" s="21">
        <f t="shared" si="44"/>
        <v>120000</v>
      </c>
      <c r="H643" s="12">
        <v>639</v>
      </c>
    </row>
    <row r="644" spans="1:8" s="5" customFormat="1">
      <c r="A644" s="15">
        <v>8</v>
      </c>
      <c r="B644" s="7" t="s">
        <v>84</v>
      </c>
      <c r="C644" s="8" t="str">
        <f>Gia_VLieu!C11</f>
        <v>hộp</v>
      </c>
      <c r="D644" s="86">
        <f>Gia_VLieu!D11</f>
        <v>2500</v>
      </c>
      <c r="E644" s="72">
        <v>9</v>
      </c>
      <c r="F644" s="21">
        <f t="shared" si="44"/>
        <v>22500</v>
      </c>
      <c r="H644" s="12">
        <v>640</v>
      </c>
    </row>
    <row r="645" spans="1:8" s="5" customFormat="1">
      <c r="A645" s="15">
        <v>9</v>
      </c>
      <c r="B645" s="7" t="s">
        <v>85</v>
      </c>
      <c r="C645" s="8" t="str">
        <f>Gia_VLieu!C12</f>
        <v>hộp</v>
      </c>
      <c r="D645" s="86">
        <f>Gia_VLieu!D12</f>
        <v>2000</v>
      </c>
      <c r="E645" s="72">
        <v>4</v>
      </c>
      <c r="F645" s="21">
        <f t="shared" si="44"/>
        <v>8000</v>
      </c>
      <c r="H645" s="12">
        <v>641</v>
      </c>
    </row>
    <row r="646" spans="1:8" s="5" customFormat="1">
      <c r="A646" s="15">
        <v>10</v>
      </c>
      <c r="B646" s="7" t="s">
        <v>86</v>
      </c>
      <c r="C646" s="8" t="str">
        <f>Gia_VLieu!C13</f>
        <v>tập</v>
      </c>
      <c r="D646" s="86">
        <f>Gia_VLieu!D13</f>
        <v>8000</v>
      </c>
      <c r="E646" s="72">
        <v>5</v>
      </c>
      <c r="F646" s="21">
        <f t="shared" si="44"/>
        <v>40000</v>
      </c>
      <c r="H646" s="12">
        <v>642</v>
      </c>
    </row>
    <row r="647" spans="1:8" s="5" customFormat="1">
      <c r="A647" s="57">
        <v>11</v>
      </c>
      <c r="B647" s="58" t="s">
        <v>87</v>
      </c>
      <c r="C647" s="59" t="str">
        <f>Gia_VLieu!C14</f>
        <v>cái</v>
      </c>
      <c r="D647" s="87">
        <f>Gia_VLieu!D14</f>
        <v>15000</v>
      </c>
      <c r="E647" s="73">
        <v>9</v>
      </c>
      <c r="F647" s="55">
        <f>D647*E647</f>
        <v>135000</v>
      </c>
      <c r="H647" s="12">
        <v>643</v>
      </c>
    </row>
    <row r="648" spans="1:8" s="46" customFormat="1">
      <c r="A648" s="44" t="e">
        <f>#REF!</f>
        <v>#REF!</v>
      </c>
      <c r="B648" s="45" t="e">
        <f>#REF!</f>
        <v>#REF!</v>
      </c>
      <c r="C648" s="20"/>
      <c r="D648" s="151">
        <f>Gia_VLieu!D$16</f>
        <v>1</v>
      </c>
      <c r="E648" s="63"/>
      <c r="F648" s="23">
        <f>SUM(F649:F659)*D648</f>
        <v>2063000</v>
      </c>
      <c r="H648" s="12">
        <v>644</v>
      </c>
    </row>
    <row r="649" spans="1:8" s="5" customFormat="1">
      <c r="A649" s="15">
        <v>1</v>
      </c>
      <c r="B649" s="7" t="s">
        <v>77</v>
      </c>
      <c r="C649" s="8" t="str">
        <f>Gia_VLieu!C4</f>
        <v>gram</v>
      </c>
      <c r="D649" s="86">
        <f>Gia_VLieu!D4</f>
        <v>45000</v>
      </c>
      <c r="E649" s="72">
        <v>5</v>
      </c>
      <c r="F649" s="21">
        <f>D649*E649</f>
        <v>225000</v>
      </c>
      <c r="H649" s="12">
        <v>645</v>
      </c>
    </row>
    <row r="650" spans="1:8" s="5" customFormat="1">
      <c r="A650" s="15">
        <v>2</v>
      </c>
      <c r="B650" s="7" t="s">
        <v>78</v>
      </c>
      <c r="C650" s="8" t="str">
        <f>Gia_VLieu!C5</f>
        <v>hộp</v>
      </c>
      <c r="D650" s="86">
        <f>Gia_VLieu!D5</f>
        <v>1450000</v>
      </c>
      <c r="E650" s="72">
        <v>0.8</v>
      </c>
      <c r="F650" s="21">
        <f t="shared" ref="F650:F658" si="45">D650*E650</f>
        <v>1160000</v>
      </c>
      <c r="H650" s="12">
        <v>646</v>
      </c>
    </row>
    <row r="651" spans="1:8" s="5" customFormat="1">
      <c r="A651" s="15">
        <v>3</v>
      </c>
      <c r="B651" s="7" t="s">
        <v>79</v>
      </c>
      <c r="C651" s="8" t="str">
        <f>Gia_VLieu!C6</f>
        <v>hộp</v>
      </c>
      <c r="D651" s="86">
        <f>Gia_VLieu!D6</f>
        <v>250000</v>
      </c>
      <c r="E651" s="72">
        <v>0.6</v>
      </c>
      <c r="F651" s="21">
        <f t="shared" si="45"/>
        <v>150000</v>
      </c>
      <c r="H651" s="12">
        <v>647</v>
      </c>
    </row>
    <row r="652" spans="1:8" s="5" customFormat="1">
      <c r="A652" s="15">
        <v>4</v>
      </c>
      <c r="B652" s="7" t="s">
        <v>80</v>
      </c>
      <c r="C652" s="8" t="str">
        <f>Gia_VLieu!C7</f>
        <v>quyển</v>
      </c>
      <c r="D652" s="86">
        <f>Gia_VLieu!D7</f>
        <v>10000</v>
      </c>
      <c r="E652" s="72">
        <v>12</v>
      </c>
      <c r="F652" s="21">
        <f t="shared" si="45"/>
        <v>120000</v>
      </c>
      <c r="H652" s="12">
        <v>648</v>
      </c>
    </row>
    <row r="653" spans="1:8" s="5" customFormat="1">
      <c r="A653" s="15">
        <v>5</v>
      </c>
      <c r="B653" s="7" t="s">
        <v>21</v>
      </c>
      <c r="C653" s="8" t="str">
        <f>Gia_VLieu!C8</f>
        <v>cái</v>
      </c>
      <c r="D653" s="86">
        <f>Gia_VLieu!D8</f>
        <v>2000</v>
      </c>
      <c r="E653" s="72">
        <v>26</v>
      </c>
      <c r="F653" s="21">
        <f t="shared" si="45"/>
        <v>52000</v>
      </c>
      <c r="H653" s="12">
        <v>649</v>
      </c>
    </row>
    <row r="654" spans="1:8" s="5" customFormat="1">
      <c r="A654" s="15">
        <v>6</v>
      </c>
      <c r="B654" s="7" t="s">
        <v>82</v>
      </c>
      <c r="C654" s="8" t="str">
        <f>Gia_VLieu!C9</f>
        <v>cái</v>
      </c>
      <c r="D654" s="86">
        <f>Gia_VLieu!D9</f>
        <v>8000</v>
      </c>
      <c r="E654" s="72">
        <v>5</v>
      </c>
      <c r="F654" s="21">
        <f t="shared" si="45"/>
        <v>40000</v>
      </c>
      <c r="H654" s="12">
        <v>650</v>
      </c>
    </row>
    <row r="655" spans="1:8" s="5" customFormat="1">
      <c r="A655" s="15">
        <v>7</v>
      </c>
      <c r="B655" s="7" t="s">
        <v>83</v>
      </c>
      <c r="C655" s="8" t="str">
        <f>Gia_VLieu!C10</f>
        <v>cái</v>
      </c>
      <c r="D655" s="86">
        <f>Gia_VLieu!D10</f>
        <v>10000</v>
      </c>
      <c r="E655" s="72">
        <v>3</v>
      </c>
      <c r="F655" s="21">
        <f t="shared" si="45"/>
        <v>30000</v>
      </c>
      <c r="H655" s="12">
        <v>651</v>
      </c>
    </row>
    <row r="656" spans="1:8" s="5" customFormat="1">
      <c r="A656" s="15">
        <v>8</v>
      </c>
      <c r="B656" s="7" t="s">
        <v>84</v>
      </c>
      <c r="C656" s="8" t="str">
        <f>Gia_VLieu!C11</f>
        <v>hộp</v>
      </c>
      <c r="D656" s="86">
        <f>Gia_VLieu!D11</f>
        <v>2500</v>
      </c>
      <c r="E656" s="72">
        <v>12</v>
      </c>
      <c r="F656" s="21">
        <f t="shared" si="45"/>
        <v>30000</v>
      </c>
      <c r="H656" s="12">
        <v>652</v>
      </c>
    </row>
    <row r="657" spans="1:8" s="5" customFormat="1">
      <c r="A657" s="15">
        <v>9</v>
      </c>
      <c r="B657" s="7" t="s">
        <v>85</v>
      </c>
      <c r="C657" s="8" t="str">
        <f>Gia_VLieu!C12</f>
        <v>hộp</v>
      </c>
      <c r="D657" s="86">
        <f>Gia_VLieu!D12</f>
        <v>2000</v>
      </c>
      <c r="E657" s="72">
        <v>6</v>
      </c>
      <c r="F657" s="21">
        <f t="shared" si="45"/>
        <v>12000</v>
      </c>
      <c r="H657" s="12">
        <v>653</v>
      </c>
    </row>
    <row r="658" spans="1:8" s="5" customFormat="1">
      <c r="A658" s="15">
        <v>10</v>
      </c>
      <c r="B658" s="7" t="s">
        <v>86</v>
      </c>
      <c r="C658" s="8" t="str">
        <f>Gia_VLieu!C13</f>
        <v>tập</v>
      </c>
      <c r="D658" s="86">
        <f>Gia_VLieu!D13</f>
        <v>8000</v>
      </c>
      <c r="E658" s="72">
        <v>8</v>
      </c>
      <c r="F658" s="21">
        <f t="shared" si="45"/>
        <v>64000</v>
      </c>
      <c r="H658" s="12">
        <v>654</v>
      </c>
    </row>
    <row r="659" spans="1:8" s="5" customFormat="1">
      <c r="A659" s="57">
        <v>11</v>
      </c>
      <c r="B659" s="58" t="s">
        <v>87</v>
      </c>
      <c r="C659" s="59" t="str">
        <f>Gia_VLieu!C14</f>
        <v>cái</v>
      </c>
      <c r="D659" s="87">
        <f>Gia_VLieu!D14</f>
        <v>15000</v>
      </c>
      <c r="E659" s="73">
        <v>12</v>
      </c>
      <c r="F659" s="55">
        <f>D659*E659</f>
        <v>180000</v>
      </c>
      <c r="H659" s="12">
        <v>655</v>
      </c>
    </row>
    <row r="660" spans="1:8" s="46" customFormat="1">
      <c r="A660" s="44" t="e">
        <f>#REF!</f>
        <v>#REF!</v>
      </c>
      <c r="B660" s="45" t="e">
        <f>#REF!</f>
        <v>#REF!</v>
      </c>
      <c r="C660" s="20"/>
      <c r="D660" s="90"/>
      <c r="E660" s="63"/>
      <c r="F660" s="23">
        <f>F662</f>
        <v>2057000</v>
      </c>
      <c r="H660" s="12">
        <v>656</v>
      </c>
    </row>
    <row r="661" spans="1:8" s="5" customFormat="1">
      <c r="A661" s="15" t="e">
        <f>#REF!</f>
        <v>#REF!</v>
      </c>
      <c r="B661" s="7" t="e">
        <f>#REF!</f>
        <v>#REF!</v>
      </c>
      <c r="C661" s="8"/>
      <c r="D661" s="86"/>
      <c r="E661" s="43"/>
      <c r="F661" s="21">
        <f>F662</f>
        <v>2057000</v>
      </c>
      <c r="H661" s="12">
        <v>657</v>
      </c>
    </row>
    <row r="662" spans="1:8" s="5" customFormat="1">
      <c r="A662" s="15" t="e">
        <f>#REF!</f>
        <v>#REF!</v>
      </c>
      <c r="B662" s="7" t="e">
        <f>#REF!</f>
        <v>#REF!</v>
      </c>
      <c r="C662" s="8"/>
      <c r="D662" s="151">
        <f>Gia_VLieu!D$16</f>
        <v>1</v>
      </c>
      <c r="E662" s="63"/>
      <c r="F662" s="23">
        <f>SUM(F663:F673)*D662</f>
        <v>2057000</v>
      </c>
      <c r="H662" s="12">
        <v>658</v>
      </c>
    </row>
    <row r="663" spans="1:8" s="5" customFormat="1">
      <c r="A663" s="15">
        <v>1</v>
      </c>
      <c r="B663" s="7" t="s">
        <v>77</v>
      </c>
      <c r="C663" s="8" t="str">
        <f>Gia_VLieu!C4</f>
        <v>gram</v>
      </c>
      <c r="D663" s="86">
        <f>Gia_VLieu!D4</f>
        <v>45000</v>
      </c>
      <c r="E663" s="72">
        <v>5</v>
      </c>
      <c r="F663" s="21">
        <f>D663*E663</f>
        <v>225000</v>
      </c>
      <c r="H663" s="12">
        <v>659</v>
      </c>
    </row>
    <row r="664" spans="1:8" s="5" customFormat="1">
      <c r="A664" s="15">
        <v>2</v>
      </c>
      <c r="B664" s="7" t="s">
        <v>78</v>
      </c>
      <c r="C664" s="8" t="str">
        <f>Gia_VLieu!C5</f>
        <v>hộp</v>
      </c>
      <c r="D664" s="86">
        <f>Gia_VLieu!D5</f>
        <v>1450000</v>
      </c>
      <c r="E664" s="72">
        <v>0.8</v>
      </c>
      <c r="F664" s="21">
        <f t="shared" ref="F664:F672" si="46">D664*E664</f>
        <v>1160000</v>
      </c>
      <c r="H664" s="12">
        <v>660</v>
      </c>
    </row>
    <row r="665" spans="1:8" s="5" customFormat="1">
      <c r="A665" s="15">
        <v>3</v>
      </c>
      <c r="B665" s="7" t="s">
        <v>79</v>
      </c>
      <c r="C665" s="8" t="str">
        <f>Gia_VLieu!C6</f>
        <v>hộp</v>
      </c>
      <c r="D665" s="86">
        <f>Gia_VLieu!D6</f>
        <v>250000</v>
      </c>
      <c r="E665" s="72">
        <v>0.6</v>
      </c>
      <c r="F665" s="21">
        <f t="shared" si="46"/>
        <v>150000</v>
      </c>
      <c r="H665" s="12">
        <v>661</v>
      </c>
    </row>
    <row r="666" spans="1:8" s="5" customFormat="1">
      <c r="A666" s="15">
        <v>4</v>
      </c>
      <c r="B666" s="7" t="s">
        <v>80</v>
      </c>
      <c r="C666" s="8" t="str">
        <f>Gia_VLieu!C7</f>
        <v>quyển</v>
      </c>
      <c r="D666" s="86">
        <f>Gia_VLieu!D7</f>
        <v>10000</v>
      </c>
      <c r="E666" s="72">
        <v>10</v>
      </c>
      <c r="F666" s="21">
        <f t="shared" si="46"/>
        <v>100000</v>
      </c>
      <c r="H666" s="12">
        <v>662</v>
      </c>
    </row>
    <row r="667" spans="1:8" s="5" customFormat="1">
      <c r="A667" s="15">
        <v>5</v>
      </c>
      <c r="B667" s="7" t="s">
        <v>21</v>
      </c>
      <c r="C667" s="8" t="str">
        <f>Gia_VLieu!C8</f>
        <v>cái</v>
      </c>
      <c r="D667" s="86">
        <f>Gia_VLieu!D8</f>
        <v>2000</v>
      </c>
      <c r="E667" s="72">
        <v>24</v>
      </c>
      <c r="F667" s="21">
        <f t="shared" si="46"/>
        <v>48000</v>
      </c>
      <c r="H667" s="12">
        <v>663</v>
      </c>
    </row>
    <row r="668" spans="1:8" s="5" customFormat="1">
      <c r="A668" s="15">
        <v>6</v>
      </c>
      <c r="B668" s="7" t="s">
        <v>82</v>
      </c>
      <c r="C668" s="8" t="str">
        <f>Gia_VLieu!C9</f>
        <v>cái</v>
      </c>
      <c r="D668" s="86">
        <f>Gia_VLieu!D9</f>
        <v>8000</v>
      </c>
      <c r="E668" s="72">
        <v>6</v>
      </c>
      <c r="F668" s="21">
        <f t="shared" si="46"/>
        <v>48000</v>
      </c>
      <c r="H668" s="12">
        <v>664</v>
      </c>
    </row>
    <row r="669" spans="1:8" s="5" customFormat="1">
      <c r="A669" s="15">
        <v>7</v>
      </c>
      <c r="B669" s="7" t="s">
        <v>83</v>
      </c>
      <c r="C669" s="8" t="str">
        <f>Gia_VLieu!C10</f>
        <v>cái</v>
      </c>
      <c r="D669" s="86">
        <f>Gia_VLieu!D10</f>
        <v>10000</v>
      </c>
      <c r="E669" s="72">
        <v>4</v>
      </c>
      <c r="F669" s="21">
        <f t="shared" si="46"/>
        <v>40000</v>
      </c>
      <c r="H669" s="12">
        <v>665</v>
      </c>
    </row>
    <row r="670" spans="1:8" s="5" customFormat="1">
      <c r="A670" s="15">
        <v>8</v>
      </c>
      <c r="B670" s="7" t="s">
        <v>84</v>
      </c>
      <c r="C670" s="8" t="str">
        <f>Gia_VLieu!C11</f>
        <v>hộp</v>
      </c>
      <c r="D670" s="86">
        <f>Gia_VLieu!D11</f>
        <v>2500</v>
      </c>
      <c r="E670" s="72">
        <v>12</v>
      </c>
      <c r="F670" s="21">
        <f t="shared" si="46"/>
        <v>30000</v>
      </c>
      <c r="H670" s="12">
        <v>666</v>
      </c>
    </row>
    <row r="671" spans="1:8" s="5" customFormat="1">
      <c r="A671" s="15">
        <v>9</v>
      </c>
      <c r="B671" s="7" t="s">
        <v>85</v>
      </c>
      <c r="C671" s="8" t="str">
        <f>Gia_VLieu!C12</f>
        <v>hộp</v>
      </c>
      <c r="D671" s="86">
        <f>Gia_VLieu!D12</f>
        <v>2000</v>
      </c>
      <c r="E671" s="72">
        <v>6</v>
      </c>
      <c r="F671" s="21">
        <f t="shared" si="46"/>
        <v>12000</v>
      </c>
      <c r="H671" s="12">
        <v>667</v>
      </c>
    </row>
    <row r="672" spans="1:8" s="5" customFormat="1">
      <c r="A672" s="15">
        <v>10</v>
      </c>
      <c r="B672" s="7" t="s">
        <v>86</v>
      </c>
      <c r="C672" s="8" t="str">
        <f>Gia_VLieu!C13</f>
        <v>tập</v>
      </c>
      <c r="D672" s="86">
        <f>Gia_VLieu!D13</f>
        <v>8000</v>
      </c>
      <c r="E672" s="72">
        <v>8</v>
      </c>
      <c r="F672" s="21">
        <f t="shared" si="46"/>
        <v>64000</v>
      </c>
      <c r="H672" s="12">
        <v>668</v>
      </c>
    </row>
    <row r="673" spans="1:8" s="5" customFormat="1">
      <c r="A673" s="57">
        <v>11</v>
      </c>
      <c r="B673" s="58" t="s">
        <v>87</v>
      </c>
      <c r="C673" s="59" t="str">
        <f>Gia_VLieu!C14</f>
        <v>cái</v>
      </c>
      <c r="D673" s="87">
        <f>Gia_VLieu!D14</f>
        <v>15000</v>
      </c>
      <c r="E673" s="73">
        <v>12</v>
      </c>
      <c r="F673" s="55">
        <f>D673*E673</f>
        <v>180000</v>
      </c>
      <c r="H673" s="12">
        <v>669</v>
      </c>
    </row>
    <row r="674" spans="1:8" s="16" customFormat="1">
      <c r="A674" s="14" t="e">
        <f>#REF!</f>
        <v>#REF!</v>
      </c>
      <c r="B674" s="10" t="e">
        <f>#REF!</f>
        <v>#REF!</v>
      </c>
      <c r="C674" s="9"/>
      <c r="D674" s="92"/>
      <c r="E674" s="66"/>
      <c r="F674" s="22"/>
      <c r="H674" s="12">
        <v>670</v>
      </c>
    </row>
    <row r="675" spans="1:8" s="46" customFormat="1">
      <c r="A675" s="44" t="e">
        <f>#REF!</f>
        <v>#REF!</v>
      </c>
      <c r="B675" s="45" t="e">
        <f>#REF!</f>
        <v>#REF!</v>
      </c>
      <c r="C675" s="20"/>
      <c r="D675" s="90"/>
      <c r="E675" s="63"/>
      <c r="F675" s="23"/>
      <c r="H675" s="12">
        <v>671</v>
      </c>
    </row>
    <row r="676" spans="1:8" s="5" customFormat="1">
      <c r="A676" s="15" t="e">
        <f>#REF!</f>
        <v>#REF!</v>
      </c>
      <c r="B676" s="7" t="e">
        <f>#REF!</f>
        <v>#REF!</v>
      </c>
      <c r="C676" s="8"/>
      <c r="D676" s="151">
        <f>Gia_VLieu!D$16</f>
        <v>1</v>
      </c>
      <c r="E676" s="63"/>
      <c r="F676" s="23">
        <f>SUM(F677:F687)*D676</f>
        <v>497500</v>
      </c>
      <c r="H676" s="12">
        <v>672</v>
      </c>
    </row>
    <row r="677" spans="1:8" s="5" customFormat="1">
      <c r="A677" s="15">
        <v>1</v>
      </c>
      <c r="B677" s="7" t="s">
        <v>77</v>
      </c>
      <c r="C677" s="8" t="str">
        <f>Gia_VLieu!C4</f>
        <v>gram</v>
      </c>
      <c r="D677" s="86">
        <f>Gia_VLieu!D4</f>
        <v>45000</v>
      </c>
      <c r="E677" s="72">
        <v>1</v>
      </c>
      <c r="F677" s="21">
        <f>D677*E677</f>
        <v>45000</v>
      </c>
      <c r="H677" s="12">
        <v>673</v>
      </c>
    </row>
    <row r="678" spans="1:8" s="5" customFormat="1">
      <c r="A678" s="15">
        <v>2</v>
      </c>
      <c r="B678" s="7" t="s">
        <v>78</v>
      </c>
      <c r="C678" s="8" t="str">
        <f>Gia_VLieu!C5</f>
        <v>hộp</v>
      </c>
      <c r="D678" s="86">
        <f>Gia_VLieu!D5</f>
        <v>1450000</v>
      </c>
      <c r="E678" s="72">
        <v>0.1</v>
      </c>
      <c r="F678" s="21">
        <f t="shared" ref="F678:F686" si="47">D678*E678</f>
        <v>145000</v>
      </c>
      <c r="H678" s="12">
        <v>674</v>
      </c>
    </row>
    <row r="679" spans="1:8" s="5" customFormat="1">
      <c r="A679" s="15">
        <v>3</v>
      </c>
      <c r="B679" s="7" t="s">
        <v>79</v>
      </c>
      <c r="C679" s="8" t="str">
        <f>Gia_VLieu!C6</f>
        <v>hộp</v>
      </c>
      <c r="D679" s="86">
        <f>Gia_VLieu!D6</f>
        <v>250000</v>
      </c>
      <c r="E679" s="72">
        <v>0.05</v>
      </c>
      <c r="F679" s="21">
        <f t="shared" si="47"/>
        <v>12500</v>
      </c>
      <c r="H679" s="12">
        <v>675</v>
      </c>
    </row>
    <row r="680" spans="1:8" s="5" customFormat="1">
      <c r="A680" s="15">
        <v>4</v>
      </c>
      <c r="B680" s="7" t="s">
        <v>80</v>
      </c>
      <c r="C680" s="8" t="str">
        <f>Gia_VLieu!C7</f>
        <v>quyển</v>
      </c>
      <c r="D680" s="86">
        <f>Gia_VLieu!D7</f>
        <v>10000</v>
      </c>
      <c r="E680" s="72">
        <v>8</v>
      </c>
      <c r="F680" s="21">
        <f t="shared" si="47"/>
        <v>80000</v>
      </c>
      <c r="H680" s="12">
        <v>676</v>
      </c>
    </row>
    <row r="681" spans="1:8" s="5" customFormat="1">
      <c r="A681" s="15">
        <v>5</v>
      </c>
      <c r="B681" s="7" t="s">
        <v>21</v>
      </c>
      <c r="C681" s="8" t="str">
        <f>Gia_VLieu!C8</f>
        <v>cái</v>
      </c>
      <c r="D681" s="86">
        <f>Gia_VLieu!D8</f>
        <v>2000</v>
      </c>
      <c r="E681" s="72">
        <v>15</v>
      </c>
      <c r="F681" s="21">
        <f t="shared" si="47"/>
        <v>30000</v>
      </c>
      <c r="H681" s="12">
        <v>677</v>
      </c>
    </row>
    <row r="682" spans="1:8" s="5" customFormat="1">
      <c r="A682" s="15">
        <v>6</v>
      </c>
      <c r="B682" s="7" t="s">
        <v>82</v>
      </c>
      <c r="C682" s="8" t="str">
        <f>Gia_VLieu!C9</f>
        <v>cái</v>
      </c>
      <c r="D682" s="86">
        <f>Gia_VLieu!D9</f>
        <v>8000</v>
      </c>
      <c r="E682" s="72">
        <v>6</v>
      </c>
      <c r="F682" s="21">
        <f t="shared" si="47"/>
        <v>48000</v>
      </c>
      <c r="H682" s="12">
        <v>678</v>
      </c>
    </row>
    <row r="683" spans="1:8" s="5" customFormat="1">
      <c r="A683" s="15">
        <v>7</v>
      </c>
      <c r="B683" s="7" t="s">
        <v>83</v>
      </c>
      <c r="C683" s="8" t="str">
        <f>Gia_VLieu!C10</f>
        <v>cái</v>
      </c>
      <c r="D683" s="86">
        <f>Gia_VLieu!D10</f>
        <v>10000</v>
      </c>
      <c r="E683" s="72">
        <v>6</v>
      </c>
      <c r="F683" s="21">
        <f t="shared" si="47"/>
        <v>60000</v>
      </c>
      <c r="H683" s="12">
        <v>679</v>
      </c>
    </row>
    <row r="684" spans="1:8" s="5" customFormat="1">
      <c r="A684" s="15">
        <v>8</v>
      </c>
      <c r="B684" s="7" t="s">
        <v>84</v>
      </c>
      <c r="C684" s="8" t="str">
        <f>Gia_VLieu!C11</f>
        <v>hộp</v>
      </c>
      <c r="D684" s="86">
        <f>Gia_VLieu!D11</f>
        <v>2500</v>
      </c>
      <c r="E684" s="72">
        <v>2</v>
      </c>
      <c r="F684" s="21">
        <f t="shared" si="47"/>
        <v>5000</v>
      </c>
      <c r="H684" s="12">
        <v>680</v>
      </c>
    </row>
    <row r="685" spans="1:8" s="5" customFormat="1">
      <c r="A685" s="15">
        <v>9</v>
      </c>
      <c r="B685" s="7" t="s">
        <v>85</v>
      </c>
      <c r="C685" s="8" t="str">
        <f>Gia_VLieu!C12</f>
        <v>hộp</v>
      </c>
      <c r="D685" s="86">
        <f>Gia_VLieu!D12</f>
        <v>2000</v>
      </c>
      <c r="E685" s="72">
        <v>2</v>
      </c>
      <c r="F685" s="21">
        <f t="shared" si="47"/>
        <v>4000</v>
      </c>
      <c r="H685" s="12">
        <v>681</v>
      </c>
    </row>
    <row r="686" spans="1:8" s="5" customFormat="1">
      <c r="A686" s="15">
        <v>10</v>
      </c>
      <c r="B686" s="7" t="s">
        <v>86</v>
      </c>
      <c r="C686" s="8" t="str">
        <f>Gia_VLieu!C13</f>
        <v>tập</v>
      </c>
      <c r="D686" s="86">
        <f>Gia_VLieu!D13</f>
        <v>8000</v>
      </c>
      <c r="E686" s="72">
        <v>1</v>
      </c>
      <c r="F686" s="21">
        <f t="shared" si="47"/>
        <v>8000</v>
      </c>
      <c r="H686" s="12">
        <v>682</v>
      </c>
    </row>
    <row r="687" spans="1:8" s="5" customFormat="1">
      <c r="A687" s="57">
        <v>11</v>
      </c>
      <c r="B687" s="58" t="s">
        <v>87</v>
      </c>
      <c r="C687" s="59" t="str">
        <f>Gia_VLieu!C14</f>
        <v>cái</v>
      </c>
      <c r="D687" s="87">
        <f>Gia_VLieu!D14</f>
        <v>15000</v>
      </c>
      <c r="E687" s="73">
        <v>4</v>
      </c>
      <c r="F687" s="55">
        <f>D687*E687</f>
        <v>60000</v>
      </c>
      <c r="H687" s="12">
        <v>683</v>
      </c>
    </row>
    <row r="688" spans="1:8" s="5" customFormat="1">
      <c r="A688" s="15" t="e">
        <f>#REF!</f>
        <v>#REF!</v>
      </c>
      <c r="B688" s="7" t="e">
        <f>#REF!</f>
        <v>#REF!</v>
      </c>
      <c r="C688" s="8"/>
      <c r="D688" s="151">
        <f>Gia_VLieu!D$16</f>
        <v>1</v>
      </c>
      <c r="E688" s="63"/>
      <c r="F688" s="23">
        <f>SUM(F689:F699)*D688</f>
        <v>716500</v>
      </c>
      <c r="H688" s="12">
        <v>684</v>
      </c>
    </row>
    <row r="689" spans="1:8" s="5" customFormat="1">
      <c r="A689" s="15">
        <v>1</v>
      </c>
      <c r="B689" s="7" t="s">
        <v>77</v>
      </c>
      <c r="C689" s="8" t="str">
        <f>Gia_VLieu!C4</f>
        <v>gram</v>
      </c>
      <c r="D689" s="86">
        <f>Gia_VLieu!D4</f>
        <v>45000</v>
      </c>
      <c r="E689" s="72">
        <v>1</v>
      </c>
      <c r="F689" s="21">
        <f>D689*E689</f>
        <v>45000</v>
      </c>
      <c r="H689" s="12">
        <v>685</v>
      </c>
    </row>
    <row r="690" spans="1:8" s="5" customFormat="1">
      <c r="A690" s="15">
        <v>2</v>
      </c>
      <c r="B690" s="7" t="s">
        <v>78</v>
      </c>
      <c r="C690" s="8" t="str">
        <f>Gia_VLieu!C5</f>
        <v>hộp</v>
      </c>
      <c r="D690" s="86">
        <f>Gia_VLieu!D5</f>
        <v>1450000</v>
      </c>
      <c r="E690" s="72">
        <v>0.15</v>
      </c>
      <c r="F690" s="21">
        <f t="shared" ref="F690:F698" si="48">D690*E690</f>
        <v>217500</v>
      </c>
      <c r="H690" s="12">
        <v>686</v>
      </c>
    </row>
    <row r="691" spans="1:8" s="5" customFormat="1">
      <c r="A691" s="15">
        <v>3</v>
      </c>
      <c r="B691" s="7" t="s">
        <v>79</v>
      </c>
      <c r="C691" s="8" t="str">
        <f>Gia_VLieu!C6</f>
        <v>hộp</v>
      </c>
      <c r="D691" s="86">
        <f>Gia_VLieu!D6</f>
        <v>250000</v>
      </c>
      <c r="E691" s="72">
        <v>0.2</v>
      </c>
      <c r="F691" s="21">
        <f t="shared" si="48"/>
        <v>50000</v>
      </c>
      <c r="H691" s="12">
        <v>687</v>
      </c>
    </row>
    <row r="692" spans="1:8" s="5" customFormat="1">
      <c r="A692" s="15">
        <v>4</v>
      </c>
      <c r="B692" s="7" t="s">
        <v>80</v>
      </c>
      <c r="C692" s="8" t="str">
        <f>Gia_VLieu!C7</f>
        <v>quyển</v>
      </c>
      <c r="D692" s="86">
        <f>Gia_VLieu!D7</f>
        <v>10000</v>
      </c>
      <c r="E692" s="72">
        <v>12</v>
      </c>
      <c r="F692" s="21">
        <f t="shared" si="48"/>
        <v>120000</v>
      </c>
      <c r="H692" s="12">
        <v>688</v>
      </c>
    </row>
    <row r="693" spans="1:8" s="5" customFormat="1">
      <c r="A693" s="15">
        <v>5</v>
      </c>
      <c r="B693" s="7" t="s">
        <v>21</v>
      </c>
      <c r="C693" s="8" t="str">
        <f>Gia_VLieu!C8</f>
        <v>cái</v>
      </c>
      <c r="D693" s="86">
        <f>Gia_VLieu!D8</f>
        <v>2000</v>
      </c>
      <c r="E693" s="72">
        <v>20</v>
      </c>
      <c r="F693" s="21">
        <f t="shared" si="48"/>
        <v>40000</v>
      </c>
      <c r="H693" s="12">
        <v>689</v>
      </c>
    </row>
    <row r="694" spans="1:8" s="5" customFormat="1">
      <c r="A694" s="15">
        <v>6</v>
      </c>
      <c r="B694" s="7" t="s">
        <v>82</v>
      </c>
      <c r="C694" s="8" t="str">
        <f>Gia_VLieu!C9</f>
        <v>cái</v>
      </c>
      <c r="D694" s="86">
        <f>Gia_VLieu!D9</f>
        <v>8000</v>
      </c>
      <c r="E694" s="72">
        <v>8</v>
      </c>
      <c r="F694" s="21">
        <f t="shared" si="48"/>
        <v>64000</v>
      </c>
      <c r="H694" s="12">
        <v>690</v>
      </c>
    </row>
    <row r="695" spans="1:8" s="5" customFormat="1">
      <c r="A695" s="15">
        <v>7</v>
      </c>
      <c r="B695" s="7" t="s">
        <v>83</v>
      </c>
      <c r="C695" s="8" t="str">
        <f>Gia_VLieu!C10</f>
        <v>cái</v>
      </c>
      <c r="D695" s="86">
        <f>Gia_VLieu!D10</f>
        <v>10000</v>
      </c>
      <c r="E695" s="72">
        <v>8</v>
      </c>
      <c r="F695" s="21">
        <f t="shared" si="48"/>
        <v>80000</v>
      </c>
      <c r="H695" s="12">
        <v>691</v>
      </c>
    </row>
    <row r="696" spans="1:8" s="5" customFormat="1">
      <c r="A696" s="15">
        <v>8</v>
      </c>
      <c r="B696" s="7" t="s">
        <v>84</v>
      </c>
      <c r="C696" s="8" t="str">
        <f>Gia_VLieu!C11</f>
        <v>hộp</v>
      </c>
      <c r="D696" s="86">
        <f>Gia_VLieu!D11</f>
        <v>2500</v>
      </c>
      <c r="E696" s="72">
        <v>2</v>
      </c>
      <c r="F696" s="21">
        <f t="shared" si="48"/>
        <v>5000</v>
      </c>
      <c r="H696" s="12">
        <v>692</v>
      </c>
    </row>
    <row r="697" spans="1:8" s="5" customFormat="1">
      <c r="A697" s="15">
        <v>9</v>
      </c>
      <c r="B697" s="7" t="s">
        <v>85</v>
      </c>
      <c r="C697" s="8" t="str">
        <f>Gia_VLieu!C12</f>
        <v>hộp</v>
      </c>
      <c r="D697" s="86">
        <f>Gia_VLieu!D12</f>
        <v>2000</v>
      </c>
      <c r="E697" s="72">
        <v>2</v>
      </c>
      <c r="F697" s="21">
        <f t="shared" si="48"/>
        <v>4000</v>
      </c>
      <c r="H697" s="12">
        <v>693</v>
      </c>
    </row>
    <row r="698" spans="1:8" s="5" customFormat="1">
      <c r="A698" s="15">
        <v>10</v>
      </c>
      <c r="B698" s="7" t="s">
        <v>86</v>
      </c>
      <c r="C698" s="8" t="str">
        <f>Gia_VLieu!C13</f>
        <v>tập</v>
      </c>
      <c r="D698" s="86">
        <f>Gia_VLieu!D13</f>
        <v>8000</v>
      </c>
      <c r="E698" s="72">
        <v>2</v>
      </c>
      <c r="F698" s="21">
        <f t="shared" si="48"/>
        <v>16000</v>
      </c>
      <c r="H698" s="12">
        <v>694</v>
      </c>
    </row>
    <row r="699" spans="1:8" s="5" customFormat="1">
      <c r="A699" s="57">
        <v>11</v>
      </c>
      <c r="B699" s="58" t="s">
        <v>87</v>
      </c>
      <c r="C699" s="59" t="str">
        <f>Gia_VLieu!C14</f>
        <v>cái</v>
      </c>
      <c r="D699" s="87">
        <f>Gia_VLieu!D14</f>
        <v>15000</v>
      </c>
      <c r="E699" s="73">
        <v>5</v>
      </c>
      <c r="F699" s="55">
        <f>D699*E699</f>
        <v>75000</v>
      </c>
      <c r="H699" s="12">
        <v>695</v>
      </c>
    </row>
    <row r="700" spans="1:8" s="46" customFormat="1">
      <c r="A700" s="44" t="e">
        <f>#REF!</f>
        <v>#REF!</v>
      </c>
      <c r="B700" s="45" t="e">
        <f>#REF!</f>
        <v>#REF!</v>
      </c>
      <c r="C700" s="20"/>
      <c r="D700" s="151">
        <f>Gia_VLieu!D$16</f>
        <v>1</v>
      </c>
      <c r="E700" s="63"/>
      <c r="F700" s="23">
        <f>SUM(F701:F711)*D700</f>
        <v>656500</v>
      </c>
      <c r="H700" s="12">
        <v>696</v>
      </c>
    </row>
    <row r="701" spans="1:8" s="5" customFormat="1">
      <c r="A701" s="15">
        <v>1</v>
      </c>
      <c r="B701" s="7" t="s">
        <v>77</v>
      </c>
      <c r="C701" s="8" t="str">
        <f>Gia_VLieu!C4</f>
        <v>gram</v>
      </c>
      <c r="D701" s="86">
        <f>Gia_VLieu!D4</f>
        <v>45000</v>
      </c>
      <c r="E701" s="72">
        <v>0.8</v>
      </c>
      <c r="F701" s="21">
        <f>D701*E701</f>
        <v>36000</v>
      </c>
      <c r="H701" s="12">
        <v>697</v>
      </c>
    </row>
    <row r="702" spans="1:8" s="5" customFormat="1">
      <c r="A702" s="15">
        <v>2</v>
      </c>
      <c r="B702" s="7" t="s">
        <v>78</v>
      </c>
      <c r="C702" s="8" t="str">
        <f>Gia_VLieu!C5</f>
        <v>hộp</v>
      </c>
      <c r="D702" s="86">
        <f>Gia_VLieu!D5</f>
        <v>1450000</v>
      </c>
      <c r="E702" s="72">
        <v>0.01</v>
      </c>
      <c r="F702" s="21">
        <f t="shared" ref="F702:F710" si="49">D702*E702</f>
        <v>14500</v>
      </c>
      <c r="H702" s="12">
        <v>698</v>
      </c>
    </row>
    <row r="703" spans="1:8" s="5" customFormat="1">
      <c r="A703" s="15">
        <v>3</v>
      </c>
      <c r="B703" s="7" t="s">
        <v>79</v>
      </c>
      <c r="C703" s="8" t="str">
        <f>Gia_VLieu!C6</f>
        <v>hộp</v>
      </c>
      <c r="D703" s="86">
        <f>Gia_VLieu!D6</f>
        <v>250000</v>
      </c>
      <c r="E703" s="72">
        <v>0.02</v>
      </c>
      <c r="F703" s="21">
        <f t="shared" si="49"/>
        <v>5000</v>
      </c>
      <c r="H703" s="12">
        <v>699</v>
      </c>
    </row>
    <row r="704" spans="1:8" s="5" customFormat="1">
      <c r="A704" s="15">
        <v>4</v>
      </c>
      <c r="B704" s="7" t="s">
        <v>80</v>
      </c>
      <c r="C704" s="8" t="str">
        <f>Gia_VLieu!C7</f>
        <v>quyển</v>
      </c>
      <c r="D704" s="86">
        <f>Gia_VLieu!D7</f>
        <v>10000</v>
      </c>
      <c r="E704" s="72">
        <v>12</v>
      </c>
      <c r="F704" s="21">
        <f t="shared" si="49"/>
        <v>120000</v>
      </c>
      <c r="H704" s="12">
        <v>700</v>
      </c>
    </row>
    <row r="705" spans="1:8" s="5" customFormat="1">
      <c r="A705" s="15">
        <v>5</v>
      </c>
      <c r="B705" s="7" t="s">
        <v>21</v>
      </c>
      <c r="C705" s="8" t="str">
        <f>Gia_VLieu!C8</f>
        <v>cái</v>
      </c>
      <c r="D705" s="86">
        <f>Gia_VLieu!D8</f>
        <v>2000</v>
      </c>
      <c r="E705" s="72">
        <v>18</v>
      </c>
      <c r="F705" s="21">
        <f t="shared" si="49"/>
        <v>36000</v>
      </c>
      <c r="H705" s="12">
        <v>701</v>
      </c>
    </row>
    <row r="706" spans="1:8" s="5" customFormat="1">
      <c r="A706" s="15">
        <v>6</v>
      </c>
      <c r="B706" s="7" t="s">
        <v>82</v>
      </c>
      <c r="C706" s="8" t="str">
        <f>Gia_VLieu!C9</f>
        <v>cái</v>
      </c>
      <c r="D706" s="86">
        <f>Gia_VLieu!D9</f>
        <v>8000</v>
      </c>
      <c r="E706" s="72">
        <v>10</v>
      </c>
      <c r="F706" s="21">
        <f t="shared" si="49"/>
        <v>80000</v>
      </c>
      <c r="H706" s="12">
        <v>702</v>
      </c>
    </row>
    <row r="707" spans="1:8" s="5" customFormat="1">
      <c r="A707" s="15">
        <v>7</v>
      </c>
      <c r="B707" s="7" t="s">
        <v>83</v>
      </c>
      <c r="C707" s="8" t="str">
        <f>Gia_VLieu!C10</f>
        <v>cái</v>
      </c>
      <c r="D707" s="86">
        <f>Gia_VLieu!D10</f>
        <v>10000</v>
      </c>
      <c r="E707" s="72">
        <v>10</v>
      </c>
      <c r="F707" s="21">
        <f t="shared" si="49"/>
        <v>100000</v>
      </c>
      <c r="H707" s="12">
        <v>703</v>
      </c>
    </row>
    <row r="708" spans="1:8" s="5" customFormat="1">
      <c r="A708" s="15">
        <v>8</v>
      </c>
      <c r="B708" s="7" t="s">
        <v>84</v>
      </c>
      <c r="C708" s="8" t="str">
        <f>Gia_VLieu!C11</f>
        <v>hộp</v>
      </c>
      <c r="D708" s="86">
        <f>Gia_VLieu!D11</f>
        <v>2500</v>
      </c>
      <c r="E708" s="72">
        <v>6</v>
      </c>
      <c r="F708" s="21">
        <f t="shared" si="49"/>
        <v>15000</v>
      </c>
      <c r="H708" s="12">
        <v>704</v>
      </c>
    </row>
    <row r="709" spans="1:8" s="5" customFormat="1">
      <c r="A709" s="15">
        <v>9</v>
      </c>
      <c r="B709" s="7" t="s">
        <v>85</v>
      </c>
      <c r="C709" s="8" t="str">
        <f>Gia_VLieu!C12</f>
        <v>hộp</v>
      </c>
      <c r="D709" s="86">
        <f>Gia_VLieu!D12</f>
        <v>2000</v>
      </c>
      <c r="E709" s="72">
        <v>4</v>
      </c>
      <c r="F709" s="21">
        <f t="shared" si="49"/>
        <v>8000</v>
      </c>
      <c r="H709" s="12">
        <v>705</v>
      </c>
    </row>
    <row r="710" spans="1:8" s="5" customFormat="1">
      <c r="A710" s="15">
        <v>10</v>
      </c>
      <c r="B710" s="7" t="s">
        <v>86</v>
      </c>
      <c r="C710" s="8" t="str">
        <f>Gia_VLieu!C13</f>
        <v>tập</v>
      </c>
      <c r="D710" s="86">
        <f>Gia_VLieu!D13</f>
        <v>8000</v>
      </c>
      <c r="E710" s="72">
        <v>4</v>
      </c>
      <c r="F710" s="21">
        <f t="shared" si="49"/>
        <v>32000</v>
      </c>
      <c r="H710" s="12">
        <v>706</v>
      </c>
    </row>
    <row r="711" spans="1:8" s="5" customFormat="1">
      <c r="A711" s="57">
        <v>11</v>
      </c>
      <c r="B711" s="58" t="s">
        <v>87</v>
      </c>
      <c r="C711" s="59" t="str">
        <f>Gia_VLieu!C14</f>
        <v>cái</v>
      </c>
      <c r="D711" s="87">
        <f>Gia_VLieu!D14</f>
        <v>15000</v>
      </c>
      <c r="E711" s="73">
        <v>14</v>
      </c>
      <c r="F711" s="55">
        <f>D711*E711</f>
        <v>210000</v>
      </c>
      <c r="H711" s="12">
        <v>707</v>
      </c>
    </row>
    <row r="712" spans="1:8" s="46" customFormat="1">
      <c r="A712" s="44" t="e">
        <f>#REF!</f>
        <v>#REF!</v>
      </c>
      <c r="B712" s="45" t="e">
        <f>#REF!</f>
        <v>#REF!</v>
      </c>
      <c r="C712" s="20"/>
      <c r="D712" s="151">
        <f>Gia_VLieu!D$16</f>
        <v>1</v>
      </c>
      <c r="E712" s="63"/>
      <c r="F712" s="23">
        <f>SUM(F713:F723)*D712</f>
        <v>604000</v>
      </c>
      <c r="H712" s="12">
        <v>708</v>
      </c>
    </row>
    <row r="713" spans="1:8" s="5" customFormat="1">
      <c r="A713" s="15">
        <v>1</v>
      </c>
      <c r="B713" s="7" t="s">
        <v>77</v>
      </c>
      <c r="C713" s="8" t="str">
        <f>Gia_VLieu!C4</f>
        <v>gram</v>
      </c>
      <c r="D713" s="86">
        <f>Gia_VLieu!D4</f>
        <v>45000</v>
      </c>
      <c r="E713" s="72">
        <v>0.5</v>
      </c>
      <c r="F713" s="21">
        <f>D713*E713</f>
        <v>22500</v>
      </c>
      <c r="H713" s="12">
        <v>709</v>
      </c>
    </row>
    <row r="714" spans="1:8" s="5" customFormat="1">
      <c r="A714" s="15">
        <v>2</v>
      </c>
      <c r="B714" s="7" t="s">
        <v>78</v>
      </c>
      <c r="C714" s="8" t="str">
        <f>Gia_VLieu!C5</f>
        <v>hộp</v>
      </c>
      <c r="D714" s="86">
        <f>Gia_VLieu!D5</f>
        <v>1450000</v>
      </c>
      <c r="E714" s="72">
        <v>0.05</v>
      </c>
      <c r="F714" s="21">
        <f t="shared" ref="F714:F722" si="50">D714*E714</f>
        <v>72500</v>
      </c>
      <c r="H714" s="12">
        <v>710</v>
      </c>
    </row>
    <row r="715" spans="1:8" s="5" customFormat="1">
      <c r="A715" s="15">
        <v>3</v>
      </c>
      <c r="B715" s="7" t="s">
        <v>79</v>
      </c>
      <c r="C715" s="8" t="str">
        <f>Gia_VLieu!C6</f>
        <v>hộp</v>
      </c>
      <c r="D715" s="86">
        <f>Gia_VLieu!D6</f>
        <v>250000</v>
      </c>
      <c r="E715" s="72">
        <v>0.05</v>
      </c>
      <c r="F715" s="21">
        <f t="shared" si="50"/>
        <v>12500</v>
      </c>
      <c r="H715" s="12">
        <v>711</v>
      </c>
    </row>
    <row r="716" spans="1:8" s="5" customFormat="1">
      <c r="A716" s="15">
        <v>4</v>
      </c>
      <c r="B716" s="7" t="s">
        <v>80</v>
      </c>
      <c r="C716" s="8" t="str">
        <f>Gia_VLieu!C7</f>
        <v>quyển</v>
      </c>
      <c r="D716" s="86">
        <f>Gia_VLieu!D7</f>
        <v>10000</v>
      </c>
      <c r="E716" s="72">
        <v>10</v>
      </c>
      <c r="F716" s="21">
        <f t="shared" si="50"/>
        <v>100000</v>
      </c>
      <c r="H716" s="12">
        <v>712</v>
      </c>
    </row>
    <row r="717" spans="1:8" s="5" customFormat="1">
      <c r="A717" s="15">
        <v>5</v>
      </c>
      <c r="B717" s="7" t="s">
        <v>21</v>
      </c>
      <c r="C717" s="8" t="str">
        <f>Gia_VLieu!C8</f>
        <v>cái</v>
      </c>
      <c r="D717" s="86">
        <f>Gia_VLieu!D8</f>
        <v>2000</v>
      </c>
      <c r="E717" s="72">
        <v>20</v>
      </c>
      <c r="F717" s="21">
        <f t="shared" si="50"/>
        <v>40000</v>
      </c>
      <c r="H717" s="12">
        <v>713</v>
      </c>
    </row>
    <row r="718" spans="1:8" s="5" customFormat="1">
      <c r="A718" s="15">
        <v>6</v>
      </c>
      <c r="B718" s="7" t="s">
        <v>82</v>
      </c>
      <c r="C718" s="8" t="str">
        <f>Gia_VLieu!C9</f>
        <v>cái</v>
      </c>
      <c r="D718" s="86">
        <f>Gia_VLieu!D9</f>
        <v>8000</v>
      </c>
      <c r="E718" s="72">
        <v>8</v>
      </c>
      <c r="F718" s="21">
        <f t="shared" si="50"/>
        <v>64000</v>
      </c>
      <c r="H718" s="12">
        <v>714</v>
      </c>
    </row>
    <row r="719" spans="1:8" s="5" customFormat="1">
      <c r="A719" s="15">
        <v>7</v>
      </c>
      <c r="B719" s="7" t="s">
        <v>83</v>
      </c>
      <c r="C719" s="8" t="str">
        <f>Gia_VLieu!C10</f>
        <v>cái</v>
      </c>
      <c r="D719" s="86">
        <f>Gia_VLieu!D10</f>
        <v>10000</v>
      </c>
      <c r="E719" s="72">
        <v>8</v>
      </c>
      <c r="F719" s="21">
        <f t="shared" si="50"/>
        <v>80000</v>
      </c>
      <c r="H719" s="12">
        <v>715</v>
      </c>
    </row>
    <row r="720" spans="1:8" s="5" customFormat="1">
      <c r="A720" s="15">
        <v>8</v>
      </c>
      <c r="B720" s="7" t="s">
        <v>84</v>
      </c>
      <c r="C720" s="8" t="str">
        <f>Gia_VLieu!C11</f>
        <v>hộp</v>
      </c>
      <c r="D720" s="86">
        <f>Gia_VLieu!D11</f>
        <v>2500</v>
      </c>
      <c r="E720" s="72">
        <v>5</v>
      </c>
      <c r="F720" s="21">
        <f t="shared" si="50"/>
        <v>12500</v>
      </c>
      <c r="H720" s="12">
        <v>716</v>
      </c>
    </row>
    <row r="721" spans="1:8" s="5" customFormat="1">
      <c r="A721" s="15">
        <v>9</v>
      </c>
      <c r="B721" s="7" t="s">
        <v>85</v>
      </c>
      <c r="C721" s="8" t="str">
        <f>Gia_VLieu!C12</f>
        <v>hộp</v>
      </c>
      <c r="D721" s="86">
        <f>Gia_VLieu!D12</f>
        <v>2000</v>
      </c>
      <c r="E721" s="72">
        <v>5</v>
      </c>
      <c r="F721" s="21">
        <f t="shared" si="50"/>
        <v>10000</v>
      </c>
      <c r="H721" s="12">
        <v>717</v>
      </c>
    </row>
    <row r="722" spans="1:8" s="5" customFormat="1">
      <c r="A722" s="15">
        <v>10</v>
      </c>
      <c r="B722" s="7" t="s">
        <v>86</v>
      </c>
      <c r="C722" s="8" t="str">
        <f>Gia_VLieu!C13</f>
        <v>tập</v>
      </c>
      <c r="D722" s="86">
        <f>Gia_VLieu!D13</f>
        <v>8000</v>
      </c>
      <c r="E722" s="72">
        <v>5</v>
      </c>
      <c r="F722" s="21">
        <f t="shared" si="50"/>
        <v>40000</v>
      </c>
      <c r="H722" s="12">
        <v>718</v>
      </c>
    </row>
    <row r="723" spans="1:8" s="5" customFormat="1">
      <c r="A723" s="57">
        <v>11</v>
      </c>
      <c r="B723" s="58" t="s">
        <v>87</v>
      </c>
      <c r="C723" s="59" t="str">
        <f>Gia_VLieu!C14</f>
        <v>cái</v>
      </c>
      <c r="D723" s="87">
        <f>Gia_VLieu!D14</f>
        <v>15000</v>
      </c>
      <c r="E723" s="73">
        <v>10</v>
      </c>
      <c r="F723" s="55">
        <f>D723*E723</f>
        <v>150000</v>
      </c>
      <c r="H723" s="12">
        <v>719</v>
      </c>
    </row>
    <row r="724" spans="1:8" s="46" customFormat="1">
      <c r="A724" s="44" t="e">
        <f>#REF!</f>
        <v>#REF!</v>
      </c>
      <c r="B724" s="45" t="e">
        <f>#REF!</f>
        <v>#REF!</v>
      </c>
      <c r="C724" s="20"/>
      <c r="D724" s="151">
        <f>Gia_VLieu!D$16</f>
        <v>1</v>
      </c>
      <c r="E724" s="63"/>
      <c r="F724" s="23">
        <f>SUM(F725:F735)*D724</f>
        <v>408000</v>
      </c>
      <c r="H724" s="12">
        <v>720</v>
      </c>
    </row>
    <row r="725" spans="1:8" s="5" customFormat="1">
      <c r="A725" s="15">
        <v>1</v>
      </c>
      <c r="B725" s="7" t="s">
        <v>77</v>
      </c>
      <c r="C725" s="8" t="str">
        <f>Gia_VLieu!C4</f>
        <v>gram</v>
      </c>
      <c r="D725" s="86">
        <f>Gia_VLieu!D4</f>
        <v>45000</v>
      </c>
      <c r="E725" s="72">
        <v>0.5</v>
      </c>
      <c r="F725" s="21">
        <f>D725*E725</f>
        <v>22500</v>
      </c>
      <c r="H725" s="12">
        <v>721</v>
      </c>
    </row>
    <row r="726" spans="1:8" s="5" customFormat="1">
      <c r="A726" s="15">
        <v>2</v>
      </c>
      <c r="B726" s="7" t="s">
        <v>78</v>
      </c>
      <c r="C726" s="8" t="str">
        <f>Gia_VLieu!C5</f>
        <v>hộp</v>
      </c>
      <c r="D726" s="86">
        <f>Gia_VLieu!D5</f>
        <v>1450000</v>
      </c>
      <c r="E726" s="72">
        <v>0.02</v>
      </c>
      <c r="F726" s="21">
        <f t="shared" ref="F726:F734" si="51">D726*E726</f>
        <v>29000</v>
      </c>
      <c r="H726" s="12">
        <v>722</v>
      </c>
    </row>
    <row r="727" spans="1:8" s="5" customFormat="1">
      <c r="A727" s="15">
        <v>3</v>
      </c>
      <c r="B727" s="7" t="s">
        <v>79</v>
      </c>
      <c r="C727" s="8" t="str">
        <f>Gia_VLieu!C6</f>
        <v>hộp</v>
      </c>
      <c r="D727" s="86">
        <f>Gia_VLieu!D6</f>
        <v>250000</v>
      </c>
      <c r="E727" s="72">
        <v>0.02</v>
      </c>
      <c r="F727" s="21">
        <f t="shared" si="51"/>
        <v>5000</v>
      </c>
      <c r="H727" s="12">
        <v>723</v>
      </c>
    </row>
    <row r="728" spans="1:8" s="5" customFormat="1">
      <c r="A728" s="15">
        <v>4</v>
      </c>
      <c r="B728" s="7" t="s">
        <v>80</v>
      </c>
      <c r="C728" s="8" t="str">
        <f>Gia_VLieu!C7</f>
        <v>quyển</v>
      </c>
      <c r="D728" s="86">
        <f>Gia_VLieu!D7</f>
        <v>10000</v>
      </c>
      <c r="E728" s="72">
        <v>6</v>
      </c>
      <c r="F728" s="21">
        <f t="shared" si="51"/>
        <v>60000</v>
      </c>
      <c r="H728" s="12">
        <v>724</v>
      </c>
    </row>
    <row r="729" spans="1:8" s="5" customFormat="1">
      <c r="A729" s="15">
        <v>5</v>
      </c>
      <c r="B729" s="7" t="s">
        <v>21</v>
      </c>
      <c r="C729" s="8" t="str">
        <f>Gia_VLieu!C8</f>
        <v>cái</v>
      </c>
      <c r="D729" s="86">
        <f>Gia_VLieu!D8</f>
        <v>2000</v>
      </c>
      <c r="E729" s="72">
        <v>15</v>
      </c>
      <c r="F729" s="21">
        <f t="shared" si="51"/>
        <v>30000</v>
      </c>
      <c r="H729" s="12">
        <v>725</v>
      </c>
    </row>
    <row r="730" spans="1:8" s="5" customFormat="1">
      <c r="A730" s="15">
        <v>6</v>
      </c>
      <c r="B730" s="7" t="s">
        <v>82</v>
      </c>
      <c r="C730" s="8" t="str">
        <f>Gia_VLieu!C9</f>
        <v>cái</v>
      </c>
      <c r="D730" s="86">
        <f>Gia_VLieu!D9</f>
        <v>8000</v>
      </c>
      <c r="E730" s="72">
        <v>7</v>
      </c>
      <c r="F730" s="21">
        <f t="shared" si="51"/>
        <v>56000</v>
      </c>
      <c r="H730" s="12">
        <v>726</v>
      </c>
    </row>
    <row r="731" spans="1:8" s="5" customFormat="1">
      <c r="A731" s="15">
        <v>7</v>
      </c>
      <c r="B731" s="7" t="s">
        <v>83</v>
      </c>
      <c r="C731" s="8" t="str">
        <f>Gia_VLieu!C10</f>
        <v>cái</v>
      </c>
      <c r="D731" s="86">
        <f>Gia_VLieu!D10</f>
        <v>10000</v>
      </c>
      <c r="E731" s="72">
        <v>7</v>
      </c>
      <c r="F731" s="21">
        <f t="shared" si="51"/>
        <v>70000</v>
      </c>
      <c r="H731" s="12">
        <v>727</v>
      </c>
    </row>
    <row r="732" spans="1:8" s="5" customFormat="1">
      <c r="A732" s="15">
        <v>8</v>
      </c>
      <c r="B732" s="7" t="s">
        <v>84</v>
      </c>
      <c r="C732" s="8" t="str">
        <f>Gia_VLieu!C11</f>
        <v>hộp</v>
      </c>
      <c r="D732" s="86">
        <f>Gia_VLieu!D11</f>
        <v>2500</v>
      </c>
      <c r="E732" s="72">
        <v>3</v>
      </c>
      <c r="F732" s="21">
        <f t="shared" si="51"/>
        <v>7500</v>
      </c>
      <c r="H732" s="12">
        <v>728</v>
      </c>
    </row>
    <row r="733" spans="1:8" s="5" customFormat="1">
      <c r="A733" s="15">
        <v>9</v>
      </c>
      <c r="B733" s="7" t="s">
        <v>85</v>
      </c>
      <c r="C733" s="8" t="str">
        <f>Gia_VLieu!C12</f>
        <v>hộp</v>
      </c>
      <c r="D733" s="86">
        <f>Gia_VLieu!D12</f>
        <v>2000</v>
      </c>
      <c r="E733" s="72">
        <v>3</v>
      </c>
      <c r="F733" s="21">
        <f t="shared" si="51"/>
        <v>6000</v>
      </c>
      <c r="H733" s="12">
        <v>729</v>
      </c>
    </row>
    <row r="734" spans="1:8" s="5" customFormat="1">
      <c r="A734" s="15">
        <v>10</v>
      </c>
      <c r="B734" s="7" t="s">
        <v>86</v>
      </c>
      <c r="C734" s="8" t="str">
        <f>Gia_VLieu!C13</f>
        <v>tập</v>
      </c>
      <c r="D734" s="86">
        <f>Gia_VLieu!D13</f>
        <v>8000</v>
      </c>
      <c r="E734" s="72">
        <v>4</v>
      </c>
      <c r="F734" s="21">
        <f t="shared" si="51"/>
        <v>32000</v>
      </c>
      <c r="H734" s="12">
        <v>730</v>
      </c>
    </row>
    <row r="735" spans="1:8" s="5" customFormat="1">
      <c r="A735" s="57">
        <v>11</v>
      </c>
      <c r="B735" s="58" t="s">
        <v>87</v>
      </c>
      <c r="C735" s="59" t="str">
        <f>Gia_VLieu!C14</f>
        <v>cái</v>
      </c>
      <c r="D735" s="87">
        <f>Gia_VLieu!D14</f>
        <v>15000</v>
      </c>
      <c r="E735" s="73">
        <v>6</v>
      </c>
      <c r="F735" s="55">
        <f>D735*E735</f>
        <v>90000</v>
      </c>
      <c r="H735" s="12">
        <v>731</v>
      </c>
    </row>
    <row r="736" spans="1:8" s="16" customFormat="1">
      <c r="A736" s="14" t="e">
        <f>#REF!</f>
        <v>#REF!</v>
      </c>
      <c r="B736" s="10" t="e">
        <f>#REF!</f>
        <v>#REF!</v>
      </c>
      <c r="C736" s="9"/>
      <c r="D736" s="92"/>
      <c r="E736" s="66"/>
      <c r="F736" s="22"/>
      <c r="H736" s="12">
        <v>732</v>
      </c>
    </row>
    <row r="737" spans="1:8" s="16" customFormat="1">
      <c r="A737" s="14" t="e">
        <f>#REF!</f>
        <v>#REF!</v>
      </c>
      <c r="B737" s="10" t="e">
        <f>#REF!</f>
        <v>#REF!</v>
      </c>
      <c r="C737" s="9"/>
      <c r="D737" s="92"/>
      <c r="E737" s="66"/>
      <c r="F737" s="22"/>
      <c r="H737" s="12">
        <v>733</v>
      </c>
    </row>
    <row r="738" spans="1:8" s="46" customFormat="1">
      <c r="A738" s="44" t="e">
        <f>#REF!</f>
        <v>#REF!</v>
      </c>
      <c r="B738" s="45" t="e">
        <f>#REF!</f>
        <v>#REF!</v>
      </c>
      <c r="C738" s="20"/>
      <c r="D738" s="90"/>
      <c r="E738" s="63"/>
      <c r="F738" s="23"/>
      <c r="H738" s="12">
        <v>734</v>
      </c>
    </row>
    <row r="739" spans="1:8" s="46" customFormat="1">
      <c r="A739" s="44" t="e">
        <f>#REF!</f>
        <v>#REF!</v>
      </c>
      <c r="B739" s="45" t="e">
        <f>#REF!</f>
        <v>#REF!</v>
      </c>
      <c r="C739" s="20"/>
      <c r="D739" s="90"/>
      <c r="E739" s="63"/>
      <c r="F739" s="23"/>
      <c r="H739" s="12">
        <v>735</v>
      </c>
    </row>
    <row r="740" spans="1:8" s="46" customFormat="1">
      <c r="A740" s="44" t="e">
        <f>#REF!</f>
        <v>#REF!</v>
      </c>
      <c r="B740" s="45" t="e">
        <f>#REF!</f>
        <v>#REF!</v>
      </c>
      <c r="C740" s="20"/>
      <c r="D740" s="151">
        <f>Gia_VLieu!D$16</f>
        <v>1</v>
      </c>
      <c r="E740" s="63"/>
      <c r="F740" s="23">
        <f>SUM(F741:F751)*D740</f>
        <v>2139</v>
      </c>
      <c r="H740" s="12">
        <v>736</v>
      </c>
    </row>
    <row r="741" spans="1:8" s="5" customFormat="1">
      <c r="A741" s="15">
        <v>1</v>
      </c>
      <c r="B741" s="7" t="s">
        <v>77</v>
      </c>
      <c r="C741" s="8" t="str">
        <f>Gia_VLieu!C4</f>
        <v>gram</v>
      </c>
      <c r="D741" s="86">
        <f>Gia_VLieu!D4</f>
        <v>45000</v>
      </c>
      <c r="E741" s="72">
        <v>2E-3</v>
      </c>
      <c r="F741" s="21">
        <f>D741*E741</f>
        <v>90</v>
      </c>
      <c r="H741" s="12">
        <v>737</v>
      </c>
    </row>
    <row r="742" spans="1:8" s="5" customFormat="1">
      <c r="A742" s="15">
        <v>2</v>
      </c>
      <c r="B742" s="7" t="s">
        <v>78</v>
      </c>
      <c r="C742" s="8" t="str">
        <f>Gia_VLieu!C5</f>
        <v>hộp</v>
      </c>
      <c r="D742" s="86">
        <f>Gia_VLieu!D5</f>
        <v>1450000</v>
      </c>
      <c r="E742" s="72">
        <v>8.0000000000000004E-4</v>
      </c>
      <c r="F742" s="21">
        <f t="shared" ref="F742:F750" si="52">D742*E742</f>
        <v>1160</v>
      </c>
      <c r="H742" s="12">
        <v>738</v>
      </c>
    </row>
    <row r="743" spans="1:8" s="5" customFormat="1">
      <c r="A743" s="15">
        <v>3</v>
      </c>
      <c r="B743" s="7" t="s">
        <v>79</v>
      </c>
      <c r="C743" s="8" t="str">
        <f>Gia_VLieu!C6</f>
        <v>hộp</v>
      </c>
      <c r="D743" s="86">
        <f>Gia_VLieu!D6</f>
        <v>250000</v>
      </c>
      <c r="E743" s="72">
        <v>2.9999999999999997E-4</v>
      </c>
      <c r="F743" s="21">
        <f t="shared" si="52"/>
        <v>75</v>
      </c>
      <c r="H743" s="12">
        <v>739</v>
      </c>
    </row>
    <row r="744" spans="1:8" s="5" customFormat="1">
      <c r="A744" s="15">
        <v>4</v>
      </c>
      <c r="B744" s="7" t="s">
        <v>80</v>
      </c>
      <c r="C744" s="8" t="str">
        <f>Gia_VLieu!C7</f>
        <v>quyển</v>
      </c>
      <c r="D744" s="86">
        <f>Gia_VLieu!D7</f>
        <v>10000</v>
      </c>
      <c r="E744" s="72">
        <v>0.05</v>
      </c>
      <c r="F744" s="21">
        <f t="shared" si="52"/>
        <v>500</v>
      </c>
      <c r="H744" s="12">
        <v>740</v>
      </c>
    </row>
    <row r="745" spans="1:8" s="5" customFormat="1">
      <c r="A745" s="15">
        <v>5</v>
      </c>
      <c r="B745" s="7" t="s">
        <v>21</v>
      </c>
      <c r="C745" s="8" t="str">
        <f>Gia_VLieu!C8</f>
        <v>cái</v>
      </c>
      <c r="D745" s="86">
        <f>Gia_VLieu!D8</f>
        <v>2000</v>
      </c>
      <c r="E745" s="72">
        <v>8.0000000000000002E-3</v>
      </c>
      <c r="F745" s="21">
        <f t="shared" si="52"/>
        <v>16</v>
      </c>
      <c r="H745" s="12">
        <v>741</v>
      </c>
    </row>
    <row r="746" spans="1:8" s="5" customFormat="1">
      <c r="A746" s="15">
        <v>6</v>
      </c>
      <c r="B746" s="7" t="s">
        <v>82</v>
      </c>
      <c r="C746" s="8" t="str">
        <f>Gia_VLieu!C9</f>
        <v>cái</v>
      </c>
      <c r="D746" s="86">
        <f>Gia_VLieu!D9</f>
        <v>8000</v>
      </c>
      <c r="E746" s="72">
        <v>6.0000000000000001E-3</v>
      </c>
      <c r="F746" s="21">
        <f t="shared" si="52"/>
        <v>48</v>
      </c>
      <c r="H746" s="12">
        <v>742</v>
      </c>
    </row>
    <row r="747" spans="1:8" s="5" customFormat="1">
      <c r="A747" s="15">
        <v>7</v>
      </c>
      <c r="B747" s="7" t="s">
        <v>83</v>
      </c>
      <c r="C747" s="8" t="str">
        <f>Gia_VLieu!C10</f>
        <v>cái</v>
      </c>
      <c r="D747" s="86">
        <f>Gia_VLieu!D10</f>
        <v>10000</v>
      </c>
      <c r="E747" s="72">
        <v>6.0000000000000001E-3</v>
      </c>
      <c r="F747" s="21">
        <f t="shared" si="52"/>
        <v>60</v>
      </c>
      <c r="H747" s="12">
        <v>743</v>
      </c>
    </row>
    <row r="748" spans="1:8" s="5" customFormat="1">
      <c r="A748" s="15">
        <v>8</v>
      </c>
      <c r="B748" s="7" t="s">
        <v>84</v>
      </c>
      <c r="C748" s="8" t="str">
        <f>Gia_VLieu!C11</f>
        <v>hộp</v>
      </c>
      <c r="D748" s="86">
        <f>Gia_VLieu!D11</f>
        <v>2500</v>
      </c>
      <c r="E748" s="72">
        <v>0.01</v>
      </c>
      <c r="F748" s="21">
        <f t="shared" si="52"/>
        <v>25</v>
      </c>
      <c r="H748" s="12">
        <v>744</v>
      </c>
    </row>
    <row r="749" spans="1:8" s="5" customFormat="1">
      <c r="A749" s="15">
        <v>9</v>
      </c>
      <c r="B749" s="7" t="s">
        <v>85</v>
      </c>
      <c r="C749" s="8" t="str">
        <f>Gia_VLieu!C12</f>
        <v>hộp</v>
      </c>
      <c r="D749" s="86">
        <f>Gia_VLieu!D12</f>
        <v>2000</v>
      </c>
      <c r="E749" s="72">
        <v>0.01</v>
      </c>
      <c r="F749" s="21">
        <f t="shared" si="52"/>
        <v>20</v>
      </c>
      <c r="H749" s="12">
        <v>745</v>
      </c>
    </row>
    <row r="750" spans="1:8" s="5" customFormat="1">
      <c r="A750" s="15">
        <v>10</v>
      </c>
      <c r="B750" s="7" t="s">
        <v>86</v>
      </c>
      <c r="C750" s="8" t="str">
        <f>Gia_VLieu!C13</f>
        <v>tập</v>
      </c>
      <c r="D750" s="86">
        <f>Gia_VLieu!D13</f>
        <v>8000</v>
      </c>
      <c r="E750" s="72">
        <v>5.0000000000000001E-3</v>
      </c>
      <c r="F750" s="21">
        <f t="shared" si="52"/>
        <v>40</v>
      </c>
      <c r="H750" s="12">
        <v>746</v>
      </c>
    </row>
    <row r="751" spans="1:8" s="5" customFormat="1">
      <c r="A751" s="57">
        <v>11</v>
      </c>
      <c r="B751" s="58" t="s">
        <v>87</v>
      </c>
      <c r="C751" s="59" t="str">
        <f>Gia_VLieu!C14</f>
        <v>cái</v>
      </c>
      <c r="D751" s="87">
        <f>Gia_VLieu!D14</f>
        <v>15000</v>
      </c>
      <c r="E751" s="73">
        <v>7.0000000000000001E-3</v>
      </c>
      <c r="F751" s="55">
        <f>D751*E751</f>
        <v>105</v>
      </c>
      <c r="H751" s="12">
        <v>747</v>
      </c>
    </row>
    <row r="752" spans="1:8" s="46" customFormat="1">
      <c r="A752" s="44" t="e">
        <f>#REF!</f>
        <v>#REF!</v>
      </c>
      <c r="B752" s="45" t="e">
        <f>#REF!</f>
        <v>#REF!</v>
      </c>
      <c r="C752" s="20"/>
      <c r="D752" s="151">
        <f>Gia_VLieu!D$16</f>
        <v>1</v>
      </c>
      <c r="E752" s="63"/>
      <c r="F752" s="23">
        <f>SUM(F753:F763)*D752</f>
        <v>2139</v>
      </c>
      <c r="H752" s="12">
        <v>748</v>
      </c>
    </row>
    <row r="753" spans="1:8" s="5" customFormat="1">
      <c r="A753" s="15">
        <v>1</v>
      </c>
      <c r="B753" s="7" t="s">
        <v>77</v>
      </c>
      <c r="C753" s="8" t="str">
        <f>Gia_VLieu!C4</f>
        <v>gram</v>
      </c>
      <c r="D753" s="86">
        <f>Gia_VLieu!D4</f>
        <v>45000</v>
      </c>
      <c r="E753" s="72">
        <v>2E-3</v>
      </c>
      <c r="F753" s="21">
        <f>D753*E753</f>
        <v>90</v>
      </c>
      <c r="H753" s="12">
        <v>749</v>
      </c>
    </row>
    <row r="754" spans="1:8" s="5" customFormat="1">
      <c r="A754" s="15">
        <v>2</v>
      </c>
      <c r="B754" s="7" t="s">
        <v>78</v>
      </c>
      <c r="C754" s="8" t="str">
        <f>Gia_VLieu!C5</f>
        <v>hộp</v>
      </c>
      <c r="D754" s="86">
        <f>Gia_VLieu!D5</f>
        <v>1450000</v>
      </c>
      <c r="E754" s="72">
        <v>8.0000000000000004E-4</v>
      </c>
      <c r="F754" s="21">
        <f t="shared" ref="F754:F762" si="53">D754*E754</f>
        <v>1160</v>
      </c>
      <c r="H754" s="12">
        <v>750</v>
      </c>
    </row>
    <row r="755" spans="1:8" s="5" customFormat="1">
      <c r="A755" s="15">
        <v>3</v>
      </c>
      <c r="B755" s="7" t="s">
        <v>79</v>
      </c>
      <c r="C755" s="8" t="str">
        <f>Gia_VLieu!C6</f>
        <v>hộp</v>
      </c>
      <c r="D755" s="86">
        <f>Gia_VLieu!D6</f>
        <v>250000</v>
      </c>
      <c r="E755" s="72">
        <v>2.9999999999999997E-4</v>
      </c>
      <c r="F755" s="21">
        <f t="shared" si="53"/>
        <v>75</v>
      </c>
      <c r="H755" s="12">
        <v>751</v>
      </c>
    </row>
    <row r="756" spans="1:8" s="5" customFormat="1">
      <c r="A756" s="15">
        <v>4</v>
      </c>
      <c r="B756" s="7" t="s">
        <v>80</v>
      </c>
      <c r="C756" s="8" t="str">
        <f>Gia_VLieu!C7</f>
        <v>quyển</v>
      </c>
      <c r="D756" s="86">
        <f>Gia_VLieu!D7</f>
        <v>10000</v>
      </c>
      <c r="E756" s="72">
        <v>0.05</v>
      </c>
      <c r="F756" s="21">
        <f t="shared" si="53"/>
        <v>500</v>
      </c>
      <c r="H756" s="12">
        <v>752</v>
      </c>
    </row>
    <row r="757" spans="1:8" s="5" customFormat="1">
      <c r="A757" s="15">
        <v>5</v>
      </c>
      <c r="B757" s="7" t="s">
        <v>21</v>
      </c>
      <c r="C757" s="8" t="str">
        <f>Gia_VLieu!C8</f>
        <v>cái</v>
      </c>
      <c r="D757" s="86">
        <f>Gia_VLieu!D8</f>
        <v>2000</v>
      </c>
      <c r="E757" s="72">
        <v>8.0000000000000002E-3</v>
      </c>
      <c r="F757" s="21">
        <f t="shared" si="53"/>
        <v>16</v>
      </c>
      <c r="H757" s="12">
        <v>753</v>
      </c>
    </row>
    <row r="758" spans="1:8" s="5" customFormat="1">
      <c r="A758" s="15">
        <v>6</v>
      </c>
      <c r="B758" s="7" t="s">
        <v>82</v>
      </c>
      <c r="C758" s="8" t="str">
        <f>Gia_VLieu!C9</f>
        <v>cái</v>
      </c>
      <c r="D758" s="86">
        <f>Gia_VLieu!D9</f>
        <v>8000</v>
      </c>
      <c r="E758" s="72">
        <v>6.0000000000000001E-3</v>
      </c>
      <c r="F758" s="21">
        <f t="shared" si="53"/>
        <v>48</v>
      </c>
      <c r="H758" s="12">
        <v>754</v>
      </c>
    </row>
    <row r="759" spans="1:8" s="5" customFormat="1">
      <c r="A759" s="15">
        <v>7</v>
      </c>
      <c r="B759" s="7" t="s">
        <v>83</v>
      </c>
      <c r="C759" s="8" t="str">
        <f>Gia_VLieu!C10</f>
        <v>cái</v>
      </c>
      <c r="D759" s="86">
        <f>Gia_VLieu!D10</f>
        <v>10000</v>
      </c>
      <c r="E759" s="72">
        <v>6.0000000000000001E-3</v>
      </c>
      <c r="F759" s="21">
        <f t="shared" si="53"/>
        <v>60</v>
      </c>
      <c r="H759" s="12">
        <v>755</v>
      </c>
    </row>
    <row r="760" spans="1:8" s="5" customFormat="1">
      <c r="A760" s="15">
        <v>8</v>
      </c>
      <c r="B760" s="7" t="s">
        <v>84</v>
      </c>
      <c r="C760" s="8" t="str">
        <f>Gia_VLieu!C11</f>
        <v>hộp</v>
      </c>
      <c r="D760" s="86">
        <f>Gia_VLieu!D11</f>
        <v>2500</v>
      </c>
      <c r="E760" s="72">
        <v>0.01</v>
      </c>
      <c r="F760" s="21">
        <f t="shared" si="53"/>
        <v>25</v>
      </c>
      <c r="H760" s="12">
        <v>756</v>
      </c>
    </row>
    <row r="761" spans="1:8" s="5" customFormat="1">
      <c r="A761" s="15">
        <v>9</v>
      </c>
      <c r="B761" s="7" t="s">
        <v>85</v>
      </c>
      <c r="C761" s="8" t="str">
        <f>Gia_VLieu!C12</f>
        <v>hộp</v>
      </c>
      <c r="D761" s="86">
        <f>Gia_VLieu!D12</f>
        <v>2000</v>
      </c>
      <c r="E761" s="72">
        <v>0.01</v>
      </c>
      <c r="F761" s="21">
        <f t="shared" si="53"/>
        <v>20</v>
      </c>
      <c r="H761" s="12">
        <v>757</v>
      </c>
    </row>
    <row r="762" spans="1:8" s="5" customFormat="1">
      <c r="A762" s="15">
        <v>10</v>
      </c>
      <c r="B762" s="7" t="s">
        <v>86</v>
      </c>
      <c r="C762" s="8" t="str">
        <f>Gia_VLieu!C13</f>
        <v>tập</v>
      </c>
      <c r="D762" s="86">
        <f>Gia_VLieu!D13</f>
        <v>8000</v>
      </c>
      <c r="E762" s="72">
        <v>5.0000000000000001E-3</v>
      </c>
      <c r="F762" s="21">
        <f t="shared" si="53"/>
        <v>40</v>
      </c>
      <c r="H762" s="12">
        <v>758</v>
      </c>
    </row>
    <row r="763" spans="1:8" s="5" customFormat="1">
      <c r="A763" s="57">
        <v>11</v>
      </c>
      <c r="B763" s="58" t="s">
        <v>87</v>
      </c>
      <c r="C763" s="59" t="str">
        <f>Gia_VLieu!C14</f>
        <v>cái</v>
      </c>
      <c r="D763" s="87">
        <f>Gia_VLieu!D14</f>
        <v>15000</v>
      </c>
      <c r="E763" s="73">
        <v>7.0000000000000001E-3</v>
      </c>
      <c r="F763" s="55">
        <f>D763*E763</f>
        <v>105</v>
      </c>
      <c r="H763" s="12">
        <v>759</v>
      </c>
    </row>
    <row r="764" spans="1:8" s="46" customFormat="1">
      <c r="A764" s="44" t="e">
        <f>#REF!</f>
        <v>#REF!</v>
      </c>
      <c r="B764" s="45" t="e">
        <f>#REF!</f>
        <v>#REF!</v>
      </c>
      <c r="C764" s="20"/>
      <c r="D764" s="151">
        <f>Gia_VLieu!D$16</f>
        <v>1</v>
      </c>
      <c r="E764" s="63"/>
      <c r="F764" s="23">
        <f>SUM(F765:F775)*D764</f>
        <v>2139</v>
      </c>
      <c r="H764" s="12">
        <v>760</v>
      </c>
    </row>
    <row r="765" spans="1:8" s="5" customFormat="1">
      <c r="A765" s="15">
        <v>1</v>
      </c>
      <c r="B765" s="7" t="s">
        <v>77</v>
      </c>
      <c r="C765" s="8" t="str">
        <f>Gia_VLieu!C4</f>
        <v>gram</v>
      </c>
      <c r="D765" s="86">
        <f>Gia_VLieu!D4</f>
        <v>45000</v>
      </c>
      <c r="E765" s="72">
        <v>2E-3</v>
      </c>
      <c r="F765" s="21">
        <f>D765*E765</f>
        <v>90</v>
      </c>
      <c r="H765" s="12">
        <v>761</v>
      </c>
    </row>
    <row r="766" spans="1:8" s="5" customFormat="1">
      <c r="A766" s="15">
        <v>2</v>
      </c>
      <c r="B766" s="7" t="s">
        <v>78</v>
      </c>
      <c r="C766" s="8" t="str">
        <f>Gia_VLieu!C5</f>
        <v>hộp</v>
      </c>
      <c r="D766" s="86">
        <f>Gia_VLieu!D5</f>
        <v>1450000</v>
      </c>
      <c r="E766" s="72">
        <v>8.0000000000000004E-4</v>
      </c>
      <c r="F766" s="21">
        <f t="shared" ref="F766:F774" si="54">D766*E766</f>
        <v>1160</v>
      </c>
      <c r="H766" s="12">
        <v>762</v>
      </c>
    </row>
    <row r="767" spans="1:8" s="5" customFormat="1">
      <c r="A767" s="15">
        <v>3</v>
      </c>
      <c r="B767" s="7" t="s">
        <v>79</v>
      </c>
      <c r="C767" s="8" t="str">
        <f>Gia_VLieu!C6</f>
        <v>hộp</v>
      </c>
      <c r="D767" s="86">
        <f>Gia_VLieu!D6</f>
        <v>250000</v>
      </c>
      <c r="E767" s="72">
        <v>2.9999999999999997E-4</v>
      </c>
      <c r="F767" s="21">
        <f t="shared" si="54"/>
        <v>75</v>
      </c>
      <c r="H767" s="12">
        <v>763</v>
      </c>
    </row>
    <row r="768" spans="1:8" s="5" customFormat="1">
      <c r="A768" s="15">
        <v>4</v>
      </c>
      <c r="B768" s="7" t="s">
        <v>80</v>
      </c>
      <c r="C768" s="8" t="str">
        <f>Gia_VLieu!C7</f>
        <v>quyển</v>
      </c>
      <c r="D768" s="86">
        <f>Gia_VLieu!D7</f>
        <v>10000</v>
      </c>
      <c r="E768" s="72">
        <v>0.05</v>
      </c>
      <c r="F768" s="21">
        <f t="shared" si="54"/>
        <v>500</v>
      </c>
      <c r="H768" s="12">
        <v>764</v>
      </c>
    </row>
    <row r="769" spans="1:8" s="5" customFormat="1">
      <c r="A769" s="15">
        <v>5</v>
      </c>
      <c r="B769" s="7" t="s">
        <v>21</v>
      </c>
      <c r="C769" s="8" t="str">
        <f>Gia_VLieu!C8</f>
        <v>cái</v>
      </c>
      <c r="D769" s="86">
        <f>Gia_VLieu!D8</f>
        <v>2000</v>
      </c>
      <c r="E769" s="72">
        <v>8.0000000000000002E-3</v>
      </c>
      <c r="F769" s="21">
        <f t="shared" si="54"/>
        <v>16</v>
      </c>
      <c r="H769" s="12">
        <v>765</v>
      </c>
    </row>
    <row r="770" spans="1:8" s="5" customFormat="1">
      <c r="A770" s="15">
        <v>6</v>
      </c>
      <c r="B770" s="7" t="s">
        <v>82</v>
      </c>
      <c r="C770" s="8" t="str">
        <f>Gia_VLieu!C9</f>
        <v>cái</v>
      </c>
      <c r="D770" s="86">
        <f>Gia_VLieu!D9</f>
        <v>8000</v>
      </c>
      <c r="E770" s="72">
        <v>6.0000000000000001E-3</v>
      </c>
      <c r="F770" s="21">
        <f t="shared" si="54"/>
        <v>48</v>
      </c>
      <c r="H770" s="12">
        <v>766</v>
      </c>
    </row>
    <row r="771" spans="1:8" s="5" customFormat="1">
      <c r="A771" s="15">
        <v>7</v>
      </c>
      <c r="B771" s="7" t="s">
        <v>83</v>
      </c>
      <c r="C771" s="8" t="str">
        <f>Gia_VLieu!C10</f>
        <v>cái</v>
      </c>
      <c r="D771" s="86">
        <f>Gia_VLieu!D10</f>
        <v>10000</v>
      </c>
      <c r="E771" s="72">
        <v>6.0000000000000001E-3</v>
      </c>
      <c r="F771" s="21">
        <f t="shared" si="54"/>
        <v>60</v>
      </c>
      <c r="H771" s="12">
        <v>767</v>
      </c>
    </row>
    <row r="772" spans="1:8" s="5" customFormat="1">
      <c r="A772" s="15">
        <v>8</v>
      </c>
      <c r="B772" s="7" t="s">
        <v>84</v>
      </c>
      <c r="C772" s="8" t="str">
        <f>Gia_VLieu!C11</f>
        <v>hộp</v>
      </c>
      <c r="D772" s="86">
        <f>Gia_VLieu!D11</f>
        <v>2500</v>
      </c>
      <c r="E772" s="72">
        <v>0.01</v>
      </c>
      <c r="F772" s="21">
        <f t="shared" si="54"/>
        <v>25</v>
      </c>
      <c r="H772" s="12">
        <v>768</v>
      </c>
    </row>
    <row r="773" spans="1:8" s="5" customFormat="1">
      <c r="A773" s="15">
        <v>9</v>
      </c>
      <c r="B773" s="7" t="s">
        <v>85</v>
      </c>
      <c r="C773" s="8" t="str">
        <f>Gia_VLieu!C12</f>
        <v>hộp</v>
      </c>
      <c r="D773" s="86">
        <f>Gia_VLieu!D12</f>
        <v>2000</v>
      </c>
      <c r="E773" s="72">
        <v>0.01</v>
      </c>
      <c r="F773" s="21">
        <f t="shared" si="54"/>
        <v>20</v>
      </c>
      <c r="H773" s="12">
        <v>769</v>
      </c>
    </row>
    <row r="774" spans="1:8" s="5" customFormat="1">
      <c r="A774" s="15">
        <v>10</v>
      </c>
      <c r="B774" s="7" t="s">
        <v>86</v>
      </c>
      <c r="C774" s="8" t="str">
        <f>Gia_VLieu!C13</f>
        <v>tập</v>
      </c>
      <c r="D774" s="86">
        <f>Gia_VLieu!D13</f>
        <v>8000</v>
      </c>
      <c r="E774" s="72">
        <v>5.0000000000000001E-3</v>
      </c>
      <c r="F774" s="21">
        <f t="shared" si="54"/>
        <v>40</v>
      </c>
      <c r="H774" s="12">
        <v>770</v>
      </c>
    </row>
    <row r="775" spans="1:8" s="5" customFormat="1">
      <c r="A775" s="57">
        <v>11</v>
      </c>
      <c r="B775" s="58" t="s">
        <v>87</v>
      </c>
      <c r="C775" s="59" t="str">
        <f>Gia_VLieu!C14</f>
        <v>cái</v>
      </c>
      <c r="D775" s="87">
        <f>Gia_VLieu!D14</f>
        <v>15000</v>
      </c>
      <c r="E775" s="73">
        <v>7.0000000000000001E-3</v>
      </c>
      <c r="F775" s="55">
        <f>D775*E775</f>
        <v>105</v>
      </c>
      <c r="H775" s="12">
        <v>771</v>
      </c>
    </row>
    <row r="776" spans="1:8" s="46" customFormat="1">
      <c r="A776" s="44" t="e">
        <f>#REF!</f>
        <v>#REF!</v>
      </c>
      <c r="B776" s="45" t="e">
        <f>#REF!</f>
        <v>#REF!</v>
      </c>
      <c r="C776" s="20"/>
      <c r="D776" s="90"/>
      <c r="E776" s="63"/>
      <c r="F776" s="23"/>
      <c r="H776" s="12">
        <v>772</v>
      </c>
    </row>
    <row r="777" spans="1:8" s="46" customFormat="1">
      <c r="A777" s="44" t="e">
        <f>#REF!</f>
        <v>#REF!</v>
      </c>
      <c r="B777" s="45" t="e">
        <f>#REF!</f>
        <v>#REF!</v>
      </c>
      <c r="C777" s="20"/>
      <c r="D777" s="151">
        <f>Gia_VLieu!D$16</f>
        <v>1</v>
      </c>
      <c r="E777" s="63"/>
      <c r="F777" s="23">
        <f>SUM(F778:F788)*D777</f>
        <v>2139</v>
      </c>
      <c r="H777" s="12">
        <v>773</v>
      </c>
    </row>
    <row r="778" spans="1:8" s="5" customFormat="1">
      <c r="A778" s="15">
        <v>1</v>
      </c>
      <c r="B778" s="7" t="s">
        <v>77</v>
      </c>
      <c r="C778" s="8" t="str">
        <f>Gia_VLieu!C4</f>
        <v>gram</v>
      </c>
      <c r="D778" s="86">
        <f>Gia_VLieu!D4</f>
        <v>45000</v>
      </c>
      <c r="E778" s="72">
        <v>2E-3</v>
      </c>
      <c r="F778" s="21">
        <f>D778*E778</f>
        <v>90</v>
      </c>
      <c r="H778" s="12">
        <v>774</v>
      </c>
    </row>
    <row r="779" spans="1:8" s="5" customFormat="1">
      <c r="A779" s="15">
        <v>2</v>
      </c>
      <c r="B779" s="7" t="s">
        <v>78</v>
      </c>
      <c r="C779" s="8" t="str">
        <f>Gia_VLieu!C5</f>
        <v>hộp</v>
      </c>
      <c r="D779" s="86">
        <f>Gia_VLieu!D5</f>
        <v>1450000</v>
      </c>
      <c r="E779" s="72">
        <v>8.0000000000000004E-4</v>
      </c>
      <c r="F779" s="21">
        <f t="shared" ref="F779:F787" si="55">D779*E779</f>
        <v>1160</v>
      </c>
      <c r="H779" s="12">
        <v>775</v>
      </c>
    </row>
    <row r="780" spans="1:8" s="5" customFormat="1">
      <c r="A780" s="15">
        <v>3</v>
      </c>
      <c r="B780" s="7" t="s">
        <v>79</v>
      </c>
      <c r="C780" s="8" t="str">
        <f>Gia_VLieu!C6</f>
        <v>hộp</v>
      </c>
      <c r="D780" s="86">
        <f>Gia_VLieu!D6</f>
        <v>250000</v>
      </c>
      <c r="E780" s="72">
        <v>2.9999999999999997E-4</v>
      </c>
      <c r="F780" s="21">
        <f t="shared" si="55"/>
        <v>75</v>
      </c>
      <c r="H780" s="12">
        <v>776</v>
      </c>
    </row>
    <row r="781" spans="1:8" s="5" customFormat="1">
      <c r="A781" s="15">
        <v>4</v>
      </c>
      <c r="B781" s="7" t="s">
        <v>80</v>
      </c>
      <c r="C781" s="8" t="str">
        <f>Gia_VLieu!C7</f>
        <v>quyển</v>
      </c>
      <c r="D781" s="86">
        <f>Gia_VLieu!D7</f>
        <v>10000</v>
      </c>
      <c r="E781" s="72">
        <v>0.05</v>
      </c>
      <c r="F781" s="21">
        <f t="shared" si="55"/>
        <v>500</v>
      </c>
      <c r="H781" s="12">
        <v>777</v>
      </c>
    </row>
    <row r="782" spans="1:8" s="5" customFormat="1">
      <c r="A782" s="15">
        <v>5</v>
      </c>
      <c r="B782" s="7" t="s">
        <v>21</v>
      </c>
      <c r="C782" s="8" t="str">
        <f>Gia_VLieu!C8</f>
        <v>cái</v>
      </c>
      <c r="D782" s="86">
        <f>Gia_VLieu!D8</f>
        <v>2000</v>
      </c>
      <c r="E782" s="72">
        <v>8.0000000000000002E-3</v>
      </c>
      <c r="F782" s="21">
        <f t="shared" si="55"/>
        <v>16</v>
      </c>
      <c r="H782" s="12">
        <v>778</v>
      </c>
    </row>
    <row r="783" spans="1:8" s="5" customFormat="1">
      <c r="A783" s="15">
        <v>6</v>
      </c>
      <c r="B783" s="7" t="s">
        <v>82</v>
      </c>
      <c r="C783" s="8" t="str">
        <f>Gia_VLieu!C9</f>
        <v>cái</v>
      </c>
      <c r="D783" s="86">
        <f>Gia_VLieu!D9</f>
        <v>8000</v>
      </c>
      <c r="E783" s="72">
        <v>6.0000000000000001E-3</v>
      </c>
      <c r="F783" s="21">
        <f t="shared" si="55"/>
        <v>48</v>
      </c>
      <c r="H783" s="12">
        <v>779</v>
      </c>
    </row>
    <row r="784" spans="1:8" s="5" customFormat="1">
      <c r="A784" s="15">
        <v>7</v>
      </c>
      <c r="B784" s="7" t="s">
        <v>83</v>
      </c>
      <c r="C784" s="8" t="str">
        <f>Gia_VLieu!C10</f>
        <v>cái</v>
      </c>
      <c r="D784" s="86">
        <f>Gia_VLieu!D10</f>
        <v>10000</v>
      </c>
      <c r="E784" s="72">
        <v>6.0000000000000001E-3</v>
      </c>
      <c r="F784" s="21">
        <f t="shared" si="55"/>
        <v>60</v>
      </c>
      <c r="H784" s="12">
        <v>780</v>
      </c>
    </row>
    <row r="785" spans="1:8" s="5" customFormat="1">
      <c r="A785" s="15">
        <v>8</v>
      </c>
      <c r="B785" s="7" t="s">
        <v>84</v>
      </c>
      <c r="C785" s="8" t="str">
        <f>Gia_VLieu!C11</f>
        <v>hộp</v>
      </c>
      <c r="D785" s="86">
        <f>Gia_VLieu!D11</f>
        <v>2500</v>
      </c>
      <c r="E785" s="72">
        <v>0.01</v>
      </c>
      <c r="F785" s="21">
        <f t="shared" si="55"/>
        <v>25</v>
      </c>
      <c r="H785" s="12">
        <v>781</v>
      </c>
    </row>
    <row r="786" spans="1:8" s="5" customFormat="1">
      <c r="A786" s="15">
        <v>9</v>
      </c>
      <c r="B786" s="7" t="s">
        <v>85</v>
      </c>
      <c r="C786" s="8" t="str">
        <f>Gia_VLieu!C12</f>
        <v>hộp</v>
      </c>
      <c r="D786" s="86">
        <f>Gia_VLieu!D12</f>
        <v>2000</v>
      </c>
      <c r="E786" s="72">
        <v>0.01</v>
      </c>
      <c r="F786" s="21">
        <f t="shared" si="55"/>
        <v>20</v>
      </c>
      <c r="H786" s="12">
        <v>782</v>
      </c>
    </row>
    <row r="787" spans="1:8" s="5" customFormat="1">
      <c r="A787" s="15">
        <v>10</v>
      </c>
      <c r="B787" s="7" t="s">
        <v>86</v>
      </c>
      <c r="C787" s="8" t="str">
        <f>Gia_VLieu!C13</f>
        <v>tập</v>
      </c>
      <c r="D787" s="86">
        <f>Gia_VLieu!D13</f>
        <v>8000</v>
      </c>
      <c r="E787" s="72">
        <v>5.0000000000000001E-3</v>
      </c>
      <c r="F787" s="21">
        <f t="shared" si="55"/>
        <v>40</v>
      </c>
      <c r="H787" s="12">
        <v>783</v>
      </c>
    </row>
    <row r="788" spans="1:8" s="5" customFormat="1">
      <c r="A788" s="57">
        <v>11</v>
      </c>
      <c r="B788" s="58" t="s">
        <v>87</v>
      </c>
      <c r="C788" s="59" t="str">
        <f>Gia_VLieu!C14</f>
        <v>cái</v>
      </c>
      <c r="D788" s="87">
        <f>Gia_VLieu!D14</f>
        <v>15000</v>
      </c>
      <c r="E788" s="73">
        <v>7.0000000000000001E-3</v>
      </c>
      <c r="F788" s="55">
        <f>D788*E788</f>
        <v>105</v>
      </c>
      <c r="H788" s="12">
        <v>784</v>
      </c>
    </row>
    <row r="789" spans="1:8" s="46" customFormat="1">
      <c r="A789" s="44" t="e">
        <f>#REF!</f>
        <v>#REF!</v>
      </c>
      <c r="B789" s="45" t="e">
        <f>#REF!</f>
        <v>#REF!</v>
      </c>
      <c r="C789" s="20"/>
      <c r="D789" s="151">
        <f>Gia_VLieu!D$16</f>
        <v>1</v>
      </c>
      <c r="E789" s="63"/>
      <c r="F789" s="23">
        <f>SUM(F790:F800)*D789</f>
        <v>2139</v>
      </c>
      <c r="H789" s="12">
        <v>785</v>
      </c>
    </row>
    <row r="790" spans="1:8" s="5" customFormat="1">
      <c r="A790" s="15">
        <v>1</v>
      </c>
      <c r="B790" s="7" t="s">
        <v>77</v>
      </c>
      <c r="C790" s="8" t="str">
        <f>Gia_VLieu!C4</f>
        <v>gram</v>
      </c>
      <c r="D790" s="86">
        <f>Gia_VLieu!D4</f>
        <v>45000</v>
      </c>
      <c r="E790" s="72">
        <v>2E-3</v>
      </c>
      <c r="F790" s="21">
        <f>D790*E790</f>
        <v>90</v>
      </c>
      <c r="H790" s="12">
        <v>786</v>
      </c>
    </row>
    <row r="791" spans="1:8" s="5" customFormat="1">
      <c r="A791" s="15">
        <v>2</v>
      </c>
      <c r="B791" s="7" t="s">
        <v>78</v>
      </c>
      <c r="C791" s="8" t="str">
        <f>Gia_VLieu!C5</f>
        <v>hộp</v>
      </c>
      <c r="D791" s="86">
        <f>Gia_VLieu!D5</f>
        <v>1450000</v>
      </c>
      <c r="E791" s="72">
        <v>8.0000000000000004E-4</v>
      </c>
      <c r="F791" s="21">
        <f t="shared" ref="F791:F799" si="56">D791*E791</f>
        <v>1160</v>
      </c>
      <c r="H791" s="12">
        <v>787</v>
      </c>
    </row>
    <row r="792" spans="1:8" s="5" customFormat="1">
      <c r="A792" s="15">
        <v>3</v>
      </c>
      <c r="B792" s="7" t="s">
        <v>79</v>
      </c>
      <c r="C792" s="8" t="str">
        <f>Gia_VLieu!C6</f>
        <v>hộp</v>
      </c>
      <c r="D792" s="86">
        <f>Gia_VLieu!D6</f>
        <v>250000</v>
      </c>
      <c r="E792" s="72">
        <v>2.9999999999999997E-4</v>
      </c>
      <c r="F792" s="21">
        <f t="shared" si="56"/>
        <v>75</v>
      </c>
      <c r="H792" s="12">
        <v>788</v>
      </c>
    </row>
    <row r="793" spans="1:8" s="5" customFormat="1">
      <c r="A793" s="15">
        <v>4</v>
      </c>
      <c r="B793" s="7" t="s">
        <v>80</v>
      </c>
      <c r="C793" s="8" t="str">
        <f>Gia_VLieu!C7</f>
        <v>quyển</v>
      </c>
      <c r="D793" s="86">
        <f>Gia_VLieu!D7</f>
        <v>10000</v>
      </c>
      <c r="E793" s="72">
        <v>0.05</v>
      </c>
      <c r="F793" s="21">
        <f t="shared" si="56"/>
        <v>500</v>
      </c>
      <c r="H793" s="12">
        <v>789</v>
      </c>
    </row>
    <row r="794" spans="1:8" s="5" customFormat="1">
      <c r="A794" s="15">
        <v>5</v>
      </c>
      <c r="B794" s="7" t="s">
        <v>21</v>
      </c>
      <c r="C794" s="8" t="str">
        <f>Gia_VLieu!C8</f>
        <v>cái</v>
      </c>
      <c r="D794" s="86">
        <f>Gia_VLieu!D8</f>
        <v>2000</v>
      </c>
      <c r="E794" s="72">
        <v>8.0000000000000002E-3</v>
      </c>
      <c r="F794" s="21">
        <f t="shared" si="56"/>
        <v>16</v>
      </c>
      <c r="H794" s="12">
        <v>790</v>
      </c>
    </row>
    <row r="795" spans="1:8" s="5" customFormat="1">
      <c r="A795" s="15">
        <v>6</v>
      </c>
      <c r="B795" s="7" t="s">
        <v>82</v>
      </c>
      <c r="C795" s="8" t="str">
        <f>Gia_VLieu!C9</f>
        <v>cái</v>
      </c>
      <c r="D795" s="86">
        <f>Gia_VLieu!D9</f>
        <v>8000</v>
      </c>
      <c r="E795" s="72">
        <v>6.0000000000000001E-3</v>
      </c>
      <c r="F795" s="21">
        <f t="shared" si="56"/>
        <v>48</v>
      </c>
      <c r="H795" s="12">
        <v>791</v>
      </c>
    </row>
    <row r="796" spans="1:8" s="5" customFormat="1">
      <c r="A796" s="15">
        <v>7</v>
      </c>
      <c r="B796" s="7" t="s">
        <v>83</v>
      </c>
      <c r="C796" s="8" t="str">
        <f>Gia_VLieu!C10</f>
        <v>cái</v>
      </c>
      <c r="D796" s="86">
        <f>Gia_VLieu!D10</f>
        <v>10000</v>
      </c>
      <c r="E796" s="72">
        <v>6.0000000000000001E-3</v>
      </c>
      <c r="F796" s="21">
        <f t="shared" si="56"/>
        <v>60</v>
      </c>
      <c r="H796" s="12">
        <v>792</v>
      </c>
    </row>
    <row r="797" spans="1:8" s="5" customFormat="1">
      <c r="A797" s="15">
        <v>8</v>
      </c>
      <c r="B797" s="7" t="s">
        <v>84</v>
      </c>
      <c r="C797" s="8" t="str">
        <f>Gia_VLieu!C11</f>
        <v>hộp</v>
      </c>
      <c r="D797" s="86">
        <f>Gia_VLieu!D11</f>
        <v>2500</v>
      </c>
      <c r="E797" s="72">
        <v>0.01</v>
      </c>
      <c r="F797" s="21">
        <f t="shared" si="56"/>
        <v>25</v>
      </c>
      <c r="H797" s="12">
        <v>793</v>
      </c>
    </row>
    <row r="798" spans="1:8" s="5" customFormat="1">
      <c r="A798" s="15">
        <v>9</v>
      </c>
      <c r="B798" s="7" t="s">
        <v>85</v>
      </c>
      <c r="C798" s="8" t="str">
        <f>Gia_VLieu!C12</f>
        <v>hộp</v>
      </c>
      <c r="D798" s="86">
        <f>Gia_VLieu!D12</f>
        <v>2000</v>
      </c>
      <c r="E798" s="72">
        <v>0.01</v>
      </c>
      <c r="F798" s="21">
        <f t="shared" si="56"/>
        <v>20</v>
      </c>
      <c r="H798" s="12">
        <v>794</v>
      </c>
    </row>
    <row r="799" spans="1:8" s="5" customFormat="1">
      <c r="A799" s="15">
        <v>10</v>
      </c>
      <c r="B799" s="7" t="s">
        <v>86</v>
      </c>
      <c r="C799" s="8" t="str">
        <f>Gia_VLieu!C13</f>
        <v>tập</v>
      </c>
      <c r="D799" s="86">
        <f>Gia_VLieu!D13</f>
        <v>8000</v>
      </c>
      <c r="E799" s="72">
        <v>5.0000000000000001E-3</v>
      </c>
      <c r="F799" s="21">
        <f t="shared" si="56"/>
        <v>40</v>
      </c>
      <c r="H799" s="12">
        <v>795</v>
      </c>
    </row>
    <row r="800" spans="1:8" s="5" customFormat="1">
      <c r="A800" s="57">
        <v>11</v>
      </c>
      <c r="B800" s="58" t="s">
        <v>87</v>
      </c>
      <c r="C800" s="59" t="str">
        <f>Gia_VLieu!C14</f>
        <v>cái</v>
      </c>
      <c r="D800" s="87">
        <f>Gia_VLieu!D14</f>
        <v>15000</v>
      </c>
      <c r="E800" s="73">
        <v>7.0000000000000001E-3</v>
      </c>
      <c r="F800" s="55">
        <f>D800*E800</f>
        <v>105</v>
      </c>
      <c r="H800" s="12">
        <v>796</v>
      </c>
    </row>
    <row r="801" spans="1:8" s="46" customFormat="1">
      <c r="A801" s="44" t="e">
        <f>#REF!</f>
        <v>#REF!</v>
      </c>
      <c r="B801" s="45" t="e">
        <f>#REF!</f>
        <v>#REF!</v>
      </c>
      <c r="C801" s="20"/>
      <c r="D801" s="90"/>
      <c r="E801" s="63"/>
      <c r="F801" s="23">
        <f>F764</f>
        <v>2139</v>
      </c>
      <c r="H801" s="12">
        <v>797</v>
      </c>
    </row>
    <row r="802" spans="1:8" s="46" customFormat="1">
      <c r="A802" s="44" t="e">
        <f>#REF!</f>
        <v>#REF!</v>
      </c>
      <c r="B802" s="45" t="e">
        <f>#REF!</f>
        <v>#REF!</v>
      </c>
      <c r="C802" s="20"/>
      <c r="D802" s="151">
        <f>Gia_VLieu!D$16</f>
        <v>1</v>
      </c>
      <c r="E802" s="63"/>
      <c r="F802" s="23">
        <f>SUM(F803:F813)*D802</f>
        <v>2139</v>
      </c>
      <c r="H802" s="12">
        <v>798</v>
      </c>
    </row>
    <row r="803" spans="1:8" s="5" customFormat="1">
      <c r="A803" s="15">
        <v>1</v>
      </c>
      <c r="B803" s="7" t="s">
        <v>77</v>
      </c>
      <c r="C803" s="8" t="str">
        <f>Gia_VLieu!C4</f>
        <v>gram</v>
      </c>
      <c r="D803" s="86">
        <f>Gia_VLieu!D4</f>
        <v>45000</v>
      </c>
      <c r="E803" s="72">
        <v>2E-3</v>
      </c>
      <c r="F803" s="21">
        <f>D803*E803</f>
        <v>90</v>
      </c>
      <c r="H803" s="12">
        <v>799</v>
      </c>
    </row>
    <row r="804" spans="1:8" s="5" customFormat="1">
      <c r="A804" s="15">
        <v>2</v>
      </c>
      <c r="B804" s="7" t="s">
        <v>78</v>
      </c>
      <c r="C804" s="8" t="str">
        <f>Gia_VLieu!C5</f>
        <v>hộp</v>
      </c>
      <c r="D804" s="86">
        <f>Gia_VLieu!D5</f>
        <v>1450000</v>
      </c>
      <c r="E804" s="72">
        <v>8.0000000000000004E-4</v>
      </c>
      <c r="F804" s="21">
        <f t="shared" ref="F804:F812" si="57">D804*E804</f>
        <v>1160</v>
      </c>
      <c r="H804" s="12">
        <v>800</v>
      </c>
    </row>
    <row r="805" spans="1:8" s="5" customFormat="1">
      <c r="A805" s="15">
        <v>3</v>
      </c>
      <c r="B805" s="7" t="s">
        <v>79</v>
      </c>
      <c r="C805" s="8" t="str">
        <f>Gia_VLieu!C6</f>
        <v>hộp</v>
      </c>
      <c r="D805" s="86">
        <f>Gia_VLieu!D6</f>
        <v>250000</v>
      </c>
      <c r="E805" s="72">
        <v>2.9999999999999997E-4</v>
      </c>
      <c r="F805" s="21">
        <f t="shared" si="57"/>
        <v>75</v>
      </c>
      <c r="H805" s="12">
        <v>801</v>
      </c>
    </row>
    <row r="806" spans="1:8" s="5" customFormat="1">
      <c r="A806" s="15">
        <v>4</v>
      </c>
      <c r="B806" s="7" t="s">
        <v>80</v>
      </c>
      <c r="C806" s="8" t="str">
        <f>Gia_VLieu!C7</f>
        <v>quyển</v>
      </c>
      <c r="D806" s="86">
        <f>Gia_VLieu!D7</f>
        <v>10000</v>
      </c>
      <c r="E806" s="72">
        <v>0.05</v>
      </c>
      <c r="F806" s="21">
        <f t="shared" si="57"/>
        <v>500</v>
      </c>
      <c r="H806" s="12">
        <v>802</v>
      </c>
    </row>
    <row r="807" spans="1:8" s="5" customFormat="1">
      <c r="A807" s="15">
        <v>5</v>
      </c>
      <c r="B807" s="7" t="s">
        <v>21</v>
      </c>
      <c r="C807" s="8" t="str">
        <f>Gia_VLieu!C8</f>
        <v>cái</v>
      </c>
      <c r="D807" s="86">
        <f>Gia_VLieu!D8</f>
        <v>2000</v>
      </c>
      <c r="E807" s="72">
        <v>8.0000000000000002E-3</v>
      </c>
      <c r="F807" s="21">
        <f t="shared" si="57"/>
        <v>16</v>
      </c>
      <c r="H807" s="12">
        <v>803</v>
      </c>
    </row>
    <row r="808" spans="1:8" s="5" customFormat="1">
      <c r="A808" s="15">
        <v>6</v>
      </c>
      <c r="B808" s="7" t="s">
        <v>82</v>
      </c>
      <c r="C808" s="8" t="str">
        <f>Gia_VLieu!C9</f>
        <v>cái</v>
      </c>
      <c r="D808" s="86">
        <f>Gia_VLieu!D9</f>
        <v>8000</v>
      </c>
      <c r="E808" s="72">
        <v>6.0000000000000001E-3</v>
      </c>
      <c r="F808" s="21">
        <f t="shared" si="57"/>
        <v>48</v>
      </c>
      <c r="H808" s="12">
        <v>804</v>
      </c>
    </row>
    <row r="809" spans="1:8" s="5" customFormat="1">
      <c r="A809" s="15">
        <v>7</v>
      </c>
      <c r="B809" s="7" t="s">
        <v>83</v>
      </c>
      <c r="C809" s="8" t="str">
        <f>Gia_VLieu!C10</f>
        <v>cái</v>
      </c>
      <c r="D809" s="86">
        <f>Gia_VLieu!D10</f>
        <v>10000</v>
      </c>
      <c r="E809" s="72">
        <v>6.0000000000000001E-3</v>
      </c>
      <c r="F809" s="21">
        <f t="shared" si="57"/>
        <v>60</v>
      </c>
      <c r="H809" s="12">
        <v>805</v>
      </c>
    </row>
    <row r="810" spans="1:8" s="5" customFormat="1">
      <c r="A810" s="15">
        <v>8</v>
      </c>
      <c r="B810" s="7" t="s">
        <v>84</v>
      </c>
      <c r="C810" s="8" t="str">
        <f>Gia_VLieu!C11</f>
        <v>hộp</v>
      </c>
      <c r="D810" s="86">
        <f>Gia_VLieu!D11</f>
        <v>2500</v>
      </c>
      <c r="E810" s="72">
        <v>0.01</v>
      </c>
      <c r="F810" s="21">
        <f t="shared" si="57"/>
        <v>25</v>
      </c>
      <c r="H810" s="12">
        <v>806</v>
      </c>
    </row>
    <row r="811" spans="1:8" s="5" customFormat="1">
      <c r="A811" s="15">
        <v>9</v>
      </c>
      <c r="B811" s="7" t="s">
        <v>85</v>
      </c>
      <c r="C811" s="8" t="str">
        <f>Gia_VLieu!C12</f>
        <v>hộp</v>
      </c>
      <c r="D811" s="86">
        <f>Gia_VLieu!D12</f>
        <v>2000</v>
      </c>
      <c r="E811" s="72">
        <v>0.01</v>
      </c>
      <c r="F811" s="21">
        <f t="shared" si="57"/>
        <v>20</v>
      </c>
      <c r="H811" s="12">
        <v>807</v>
      </c>
    </row>
    <row r="812" spans="1:8" s="5" customFormat="1">
      <c r="A812" s="15">
        <v>10</v>
      </c>
      <c r="B812" s="7" t="s">
        <v>86</v>
      </c>
      <c r="C812" s="8" t="str">
        <f>Gia_VLieu!C13</f>
        <v>tập</v>
      </c>
      <c r="D812" s="86">
        <f>Gia_VLieu!D13</f>
        <v>8000</v>
      </c>
      <c r="E812" s="72">
        <v>5.0000000000000001E-3</v>
      </c>
      <c r="F812" s="21">
        <f t="shared" si="57"/>
        <v>40</v>
      </c>
      <c r="H812" s="12">
        <v>808</v>
      </c>
    </row>
    <row r="813" spans="1:8" s="5" customFormat="1">
      <c r="A813" s="57">
        <v>11</v>
      </c>
      <c r="B813" s="58" t="s">
        <v>87</v>
      </c>
      <c r="C813" s="59" t="str">
        <f>Gia_VLieu!C14</f>
        <v>cái</v>
      </c>
      <c r="D813" s="87">
        <f>Gia_VLieu!D14</f>
        <v>15000</v>
      </c>
      <c r="E813" s="73">
        <v>7.0000000000000001E-3</v>
      </c>
      <c r="F813" s="55">
        <f>D813*E813</f>
        <v>105</v>
      </c>
      <c r="H813" s="12">
        <v>809</v>
      </c>
    </row>
    <row r="814" spans="1:8" s="16" customFormat="1">
      <c r="A814" s="14" t="e">
        <f>#REF!</f>
        <v>#REF!</v>
      </c>
      <c r="B814" s="10" t="e">
        <f>#REF!</f>
        <v>#REF!</v>
      </c>
      <c r="C814" s="9"/>
      <c r="D814" s="92"/>
      <c r="E814" s="66"/>
      <c r="F814" s="22"/>
      <c r="H814" s="12">
        <v>810</v>
      </c>
    </row>
    <row r="815" spans="1:8" s="5" customFormat="1">
      <c r="A815" s="15" t="e">
        <f>#REF!</f>
        <v>#REF!</v>
      </c>
      <c r="B815" s="7" t="e">
        <f>#REF!</f>
        <v>#REF!</v>
      </c>
      <c r="C815" s="8"/>
      <c r="D815" s="86"/>
      <c r="E815" s="43"/>
      <c r="F815" s="21"/>
      <c r="H815" s="12">
        <v>811</v>
      </c>
    </row>
    <row r="816" spans="1:8" s="5" customFormat="1">
      <c r="A816" s="15" t="e">
        <f>#REF!</f>
        <v>#REF!</v>
      </c>
      <c r="B816" s="7" t="e">
        <f>#REF!</f>
        <v>#REF!</v>
      </c>
      <c r="C816" s="8"/>
      <c r="D816" s="86"/>
      <c r="E816" s="43"/>
      <c r="F816" s="21"/>
      <c r="H816" s="12">
        <v>812</v>
      </c>
    </row>
    <row r="817" spans="1:8" s="5" customFormat="1">
      <c r="A817" s="15" t="e">
        <f>#REF!</f>
        <v>#REF!</v>
      </c>
      <c r="B817" s="7" t="e">
        <f>#REF!</f>
        <v>#REF!</v>
      </c>
      <c r="C817" s="8"/>
      <c r="D817" s="86"/>
      <c r="E817" s="43"/>
      <c r="F817" s="21"/>
      <c r="H817" s="12">
        <v>813</v>
      </c>
    </row>
    <row r="818" spans="1:8" s="5" customFormat="1">
      <c r="A818" s="15" t="e">
        <f>#REF!</f>
        <v>#REF!</v>
      </c>
      <c r="B818" s="7" t="e">
        <f>#REF!</f>
        <v>#REF!</v>
      </c>
      <c r="C818" s="8"/>
      <c r="D818" s="86"/>
      <c r="E818" s="43"/>
      <c r="F818" s="21">
        <f>F740</f>
        <v>2139</v>
      </c>
      <c r="H818" s="12">
        <v>814</v>
      </c>
    </row>
    <row r="819" spans="1:8" s="5" customFormat="1">
      <c r="A819" s="15" t="e">
        <f>#REF!</f>
        <v>#REF!</v>
      </c>
      <c r="B819" s="7" t="e">
        <f>#REF!</f>
        <v>#REF!</v>
      </c>
      <c r="C819" s="8"/>
      <c r="D819" s="86"/>
      <c r="E819" s="43"/>
      <c r="F819" s="21">
        <f>F752</f>
        <v>2139</v>
      </c>
      <c r="H819" s="12">
        <v>815</v>
      </c>
    </row>
    <row r="820" spans="1:8" s="5" customFormat="1">
      <c r="A820" s="15" t="e">
        <f>#REF!</f>
        <v>#REF!</v>
      </c>
      <c r="B820" s="7" t="e">
        <f>#REF!</f>
        <v>#REF!</v>
      </c>
      <c r="C820" s="8"/>
      <c r="D820" s="86"/>
      <c r="E820" s="43"/>
      <c r="F820" s="21"/>
      <c r="H820" s="12">
        <v>816</v>
      </c>
    </row>
    <row r="821" spans="1:8" s="5" customFormat="1">
      <c r="A821" s="15" t="e">
        <f>#REF!</f>
        <v>#REF!</v>
      </c>
      <c r="B821" s="7" t="e">
        <f>#REF!</f>
        <v>#REF!</v>
      </c>
      <c r="C821" s="8"/>
      <c r="D821" s="86"/>
      <c r="E821" s="43"/>
      <c r="F821" s="21">
        <f>F777</f>
        <v>2139</v>
      </c>
      <c r="H821" s="12">
        <v>817</v>
      </c>
    </row>
    <row r="822" spans="1:8" s="5" customFormat="1">
      <c r="A822" s="15" t="e">
        <f>#REF!</f>
        <v>#REF!</v>
      </c>
      <c r="B822" s="7" t="e">
        <f>#REF!</f>
        <v>#REF!</v>
      </c>
      <c r="C822" s="8"/>
      <c r="D822" s="86"/>
      <c r="E822" s="43"/>
      <c r="F822" s="21">
        <f>F789</f>
        <v>2139</v>
      </c>
      <c r="H822" s="12">
        <v>818</v>
      </c>
    </row>
    <row r="823" spans="1:8" s="5" customFormat="1">
      <c r="A823" s="57" t="e">
        <f>#REF!</f>
        <v>#REF!</v>
      </c>
      <c r="B823" s="58" t="e">
        <f>#REF!</f>
        <v>#REF!</v>
      </c>
      <c r="C823" s="59"/>
      <c r="D823" s="87"/>
      <c r="E823" s="64"/>
      <c r="F823" s="55">
        <f>F801</f>
        <v>2139</v>
      </c>
      <c r="H823" s="12">
        <v>819</v>
      </c>
    </row>
    <row r="824" spans="1:8" s="46" customFormat="1">
      <c r="A824" s="78" t="e">
        <f>#REF!</f>
        <v>#REF!</v>
      </c>
      <c r="B824" s="79" t="e">
        <f>#REF!</f>
        <v>#REF!</v>
      </c>
      <c r="C824" s="80"/>
      <c r="D824" s="93"/>
      <c r="E824" s="81"/>
      <c r="F824" s="82">
        <f>F802</f>
        <v>2139</v>
      </c>
      <c r="H824" s="12">
        <v>820</v>
      </c>
    </row>
    <row r="825" spans="1:8" s="46" customFormat="1">
      <c r="A825" s="74" t="e">
        <f>#REF!</f>
        <v>#REF!</v>
      </c>
      <c r="B825" s="75" t="e">
        <f>#REF!</f>
        <v>#REF!</v>
      </c>
      <c r="C825" s="76"/>
      <c r="D825" s="94"/>
      <c r="E825" s="77"/>
      <c r="F825" s="56"/>
      <c r="H825" s="12">
        <v>821</v>
      </c>
    </row>
    <row r="826" spans="1:8" s="5" customFormat="1">
      <c r="A826" s="15" t="e">
        <f>#REF!</f>
        <v>#REF!</v>
      </c>
      <c r="B826" s="7" t="e">
        <f>#REF!</f>
        <v>#REF!</v>
      </c>
      <c r="C826" s="8"/>
      <c r="D826" s="86"/>
      <c r="E826" s="43"/>
      <c r="F826" s="21"/>
      <c r="H826" s="12">
        <v>822</v>
      </c>
    </row>
    <row r="827" spans="1:8" s="5" customFormat="1">
      <c r="A827" s="15" t="e">
        <f>#REF!</f>
        <v>#REF!</v>
      </c>
      <c r="B827" s="7" t="e">
        <f>#REF!</f>
        <v>#REF!</v>
      </c>
      <c r="C827" s="8"/>
      <c r="D827" s="86"/>
      <c r="E827" s="43"/>
      <c r="F827" s="21"/>
      <c r="H827" s="12">
        <v>823</v>
      </c>
    </row>
    <row r="828" spans="1:8" s="5" customFormat="1">
      <c r="A828" s="15" t="e">
        <f>#REF!</f>
        <v>#REF!</v>
      </c>
      <c r="B828" s="7" t="e">
        <f>#REF!</f>
        <v>#REF!</v>
      </c>
      <c r="C828" s="8"/>
      <c r="D828" s="86"/>
      <c r="E828" s="43"/>
      <c r="F828" s="21">
        <f>F818</f>
        <v>2139</v>
      </c>
      <c r="H828" s="12">
        <v>824</v>
      </c>
    </row>
    <row r="829" spans="1:8" s="5" customFormat="1">
      <c r="A829" s="15" t="e">
        <f>#REF!</f>
        <v>#REF!</v>
      </c>
      <c r="B829" s="7" t="e">
        <f>#REF!</f>
        <v>#REF!</v>
      </c>
      <c r="C829" s="8"/>
      <c r="D829" s="86"/>
      <c r="E829" s="43"/>
      <c r="F829" s="21">
        <f>F819</f>
        <v>2139</v>
      </c>
      <c r="H829" s="12">
        <v>825</v>
      </c>
    </row>
    <row r="830" spans="1:8" s="5" customFormat="1">
      <c r="A830" s="15" t="e">
        <f>#REF!</f>
        <v>#REF!</v>
      </c>
      <c r="B830" s="7" t="e">
        <f>#REF!</f>
        <v>#REF!</v>
      </c>
      <c r="C830" s="8"/>
      <c r="D830" s="86"/>
      <c r="E830" s="43"/>
      <c r="F830" s="21">
        <f>F823</f>
        <v>2139</v>
      </c>
      <c r="H830" s="12">
        <v>826</v>
      </c>
    </row>
    <row r="831" spans="1:8" s="5" customFormat="1">
      <c r="A831" s="15" t="e">
        <f>#REF!</f>
        <v>#REF!</v>
      </c>
      <c r="B831" s="7" t="e">
        <f>#REF!</f>
        <v>#REF!</v>
      </c>
      <c r="C831" s="8"/>
      <c r="D831" s="86"/>
      <c r="E831" s="43"/>
      <c r="F831" s="21"/>
      <c r="H831" s="12">
        <v>827</v>
      </c>
    </row>
    <row r="832" spans="1:8" s="5" customFormat="1">
      <c r="A832" s="15" t="e">
        <f>#REF!</f>
        <v>#REF!</v>
      </c>
      <c r="B832" s="7" t="e">
        <f>#REF!</f>
        <v>#REF!</v>
      </c>
      <c r="C832" s="8"/>
      <c r="D832" s="86"/>
      <c r="E832" s="43"/>
      <c r="F832" s="21">
        <f>F821</f>
        <v>2139</v>
      </c>
      <c r="H832" s="12">
        <v>828</v>
      </c>
    </row>
    <row r="833" spans="1:8" s="5" customFormat="1">
      <c r="A833" s="15" t="e">
        <f>#REF!</f>
        <v>#REF!</v>
      </c>
      <c r="B833" s="7" t="e">
        <f>#REF!</f>
        <v>#REF!</v>
      </c>
      <c r="C833" s="8"/>
      <c r="D833" s="86"/>
      <c r="E833" s="43"/>
      <c r="F833" s="21">
        <f>F822</f>
        <v>2139</v>
      </c>
      <c r="H833" s="12">
        <v>829</v>
      </c>
    </row>
    <row r="834" spans="1:8" s="5" customFormat="1">
      <c r="A834" s="57" t="e">
        <f>#REF!</f>
        <v>#REF!</v>
      </c>
      <c r="B834" s="58" t="e">
        <f>#REF!</f>
        <v>#REF!</v>
      </c>
      <c r="C834" s="59"/>
      <c r="D834" s="87"/>
      <c r="E834" s="64"/>
      <c r="F834" s="55">
        <f>F824</f>
        <v>2139</v>
      </c>
      <c r="H834" s="12">
        <v>830</v>
      </c>
    </row>
    <row r="835" spans="1:8" s="46" customFormat="1">
      <c r="A835" s="74" t="e">
        <f>#REF!</f>
        <v>#REF!</v>
      </c>
      <c r="B835" s="75" t="e">
        <f>#REF!</f>
        <v>#REF!</v>
      </c>
      <c r="C835" s="76"/>
      <c r="D835" s="94"/>
      <c r="E835" s="77"/>
      <c r="F835" s="56"/>
      <c r="H835" s="12">
        <v>831</v>
      </c>
    </row>
    <row r="836" spans="1:8" s="46" customFormat="1">
      <c r="A836" s="44" t="e">
        <f>#REF!</f>
        <v>#REF!</v>
      </c>
      <c r="B836" s="45" t="e">
        <f>#REF!</f>
        <v>#REF!</v>
      </c>
      <c r="C836" s="20"/>
      <c r="D836" s="151">
        <f>Gia_VLieu!D$16</f>
        <v>1</v>
      </c>
      <c r="E836" s="63"/>
      <c r="F836" s="23">
        <f>SUM(F837:F847)*D836</f>
        <v>910000</v>
      </c>
      <c r="H836" s="12">
        <v>832</v>
      </c>
    </row>
    <row r="837" spans="1:8" s="5" customFormat="1">
      <c r="A837" s="15">
        <v>1</v>
      </c>
      <c r="B837" s="7" t="s">
        <v>77</v>
      </c>
      <c r="C837" s="8" t="str">
        <f>Gia_VLieu!C4</f>
        <v>gram</v>
      </c>
      <c r="D837" s="86">
        <f>Gia_VLieu!D4</f>
        <v>45000</v>
      </c>
      <c r="E837" s="72">
        <v>3</v>
      </c>
      <c r="F837" s="21">
        <f>D837*E837</f>
        <v>135000</v>
      </c>
      <c r="H837" s="12">
        <v>833</v>
      </c>
    </row>
    <row r="838" spans="1:8" s="5" customFormat="1">
      <c r="A838" s="15">
        <v>2</v>
      </c>
      <c r="B838" s="7" t="s">
        <v>78</v>
      </c>
      <c r="C838" s="8" t="str">
        <f>Gia_VLieu!C5</f>
        <v>hộp</v>
      </c>
      <c r="D838" s="86">
        <f>Gia_VLieu!D5</f>
        <v>1450000</v>
      </c>
      <c r="E838" s="72">
        <v>0.25</v>
      </c>
      <c r="F838" s="21">
        <f t="shared" ref="F838:F846" si="58">D838*E838</f>
        <v>362500</v>
      </c>
      <c r="H838" s="12">
        <v>834</v>
      </c>
    </row>
    <row r="839" spans="1:8" s="5" customFormat="1">
      <c r="A839" s="15">
        <v>3</v>
      </c>
      <c r="B839" s="7" t="s">
        <v>79</v>
      </c>
      <c r="C839" s="8" t="str">
        <f>Gia_VLieu!C6</f>
        <v>hộp</v>
      </c>
      <c r="D839" s="86">
        <f>Gia_VLieu!D6</f>
        <v>250000</v>
      </c>
      <c r="E839" s="72">
        <v>0.2</v>
      </c>
      <c r="F839" s="21">
        <f t="shared" si="58"/>
        <v>50000</v>
      </c>
      <c r="H839" s="12">
        <v>835</v>
      </c>
    </row>
    <row r="840" spans="1:8" s="5" customFormat="1">
      <c r="A840" s="15">
        <v>4</v>
      </c>
      <c r="B840" s="7" t="s">
        <v>80</v>
      </c>
      <c r="C840" s="8" t="str">
        <f>Gia_VLieu!C7</f>
        <v>quyển</v>
      </c>
      <c r="D840" s="86">
        <f>Gia_VLieu!D7</f>
        <v>10000</v>
      </c>
      <c r="E840" s="72">
        <v>10</v>
      </c>
      <c r="F840" s="21">
        <f t="shared" si="58"/>
        <v>100000</v>
      </c>
      <c r="H840" s="12">
        <v>836</v>
      </c>
    </row>
    <row r="841" spans="1:8" s="5" customFormat="1">
      <c r="A841" s="15">
        <v>5</v>
      </c>
      <c r="B841" s="7" t="s">
        <v>21</v>
      </c>
      <c r="C841" s="8" t="str">
        <f>Gia_VLieu!C8</f>
        <v>cái</v>
      </c>
      <c r="D841" s="86">
        <f>Gia_VLieu!D8</f>
        <v>2000</v>
      </c>
      <c r="E841" s="72">
        <v>10</v>
      </c>
      <c r="F841" s="21">
        <f t="shared" si="58"/>
        <v>20000</v>
      </c>
      <c r="H841" s="12">
        <v>837</v>
      </c>
    </row>
    <row r="842" spans="1:8" s="5" customFormat="1">
      <c r="A842" s="15">
        <v>6</v>
      </c>
      <c r="B842" s="7" t="s">
        <v>82</v>
      </c>
      <c r="C842" s="8" t="str">
        <f>Gia_VLieu!C9</f>
        <v>cái</v>
      </c>
      <c r="D842" s="86">
        <f>Gia_VLieu!D9</f>
        <v>8000</v>
      </c>
      <c r="E842" s="72">
        <v>6</v>
      </c>
      <c r="F842" s="21">
        <f t="shared" si="58"/>
        <v>48000</v>
      </c>
      <c r="H842" s="12">
        <v>838</v>
      </c>
    </row>
    <row r="843" spans="1:8" s="5" customFormat="1">
      <c r="A843" s="15">
        <v>7</v>
      </c>
      <c r="B843" s="7" t="s">
        <v>83</v>
      </c>
      <c r="C843" s="8" t="str">
        <f>Gia_VLieu!C10</f>
        <v>cái</v>
      </c>
      <c r="D843" s="86">
        <f>Gia_VLieu!D10</f>
        <v>10000</v>
      </c>
      <c r="E843" s="72">
        <v>3</v>
      </c>
      <c r="F843" s="21">
        <f t="shared" si="58"/>
        <v>30000</v>
      </c>
      <c r="H843" s="12">
        <v>839</v>
      </c>
    </row>
    <row r="844" spans="1:8" s="5" customFormat="1">
      <c r="A844" s="15">
        <v>8</v>
      </c>
      <c r="B844" s="7" t="s">
        <v>84</v>
      </c>
      <c r="C844" s="8" t="str">
        <f>Gia_VLieu!C11</f>
        <v>hộp</v>
      </c>
      <c r="D844" s="86">
        <f>Gia_VLieu!D11</f>
        <v>2500</v>
      </c>
      <c r="E844" s="72">
        <v>3</v>
      </c>
      <c r="F844" s="21">
        <f t="shared" si="58"/>
        <v>7500</v>
      </c>
      <c r="H844" s="12">
        <v>840</v>
      </c>
    </row>
    <row r="845" spans="1:8" s="5" customFormat="1">
      <c r="A845" s="15">
        <v>9</v>
      </c>
      <c r="B845" s="7" t="s">
        <v>85</v>
      </c>
      <c r="C845" s="8" t="str">
        <f>Gia_VLieu!C12</f>
        <v>hộp</v>
      </c>
      <c r="D845" s="86">
        <f>Gia_VLieu!D12</f>
        <v>2000</v>
      </c>
      <c r="E845" s="72">
        <v>2.5</v>
      </c>
      <c r="F845" s="21">
        <f t="shared" si="58"/>
        <v>5000</v>
      </c>
      <c r="H845" s="12">
        <v>841</v>
      </c>
    </row>
    <row r="846" spans="1:8" s="5" customFormat="1">
      <c r="A846" s="15">
        <v>10</v>
      </c>
      <c r="B846" s="7" t="s">
        <v>86</v>
      </c>
      <c r="C846" s="8" t="str">
        <f>Gia_VLieu!C13</f>
        <v>tập</v>
      </c>
      <c r="D846" s="86">
        <f>Gia_VLieu!D13</f>
        <v>8000</v>
      </c>
      <c r="E846" s="72">
        <v>4</v>
      </c>
      <c r="F846" s="21">
        <f t="shared" si="58"/>
        <v>32000</v>
      </c>
      <c r="H846" s="12">
        <v>842</v>
      </c>
    </row>
    <row r="847" spans="1:8" s="5" customFormat="1">
      <c r="A847" s="57">
        <v>11</v>
      </c>
      <c r="B847" s="58" t="s">
        <v>87</v>
      </c>
      <c r="C847" s="59" t="str">
        <f>Gia_VLieu!C14</f>
        <v>cái</v>
      </c>
      <c r="D847" s="87">
        <f>Gia_VLieu!D14</f>
        <v>15000</v>
      </c>
      <c r="E847" s="73">
        <v>8</v>
      </c>
      <c r="F847" s="55">
        <f>D847*E847</f>
        <v>120000</v>
      </c>
      <c r="H847" s="12">
        <v>843</v>
      </c>
    </row>
    <row r="848" spans="1:8" s="46" customFormat="1">
      <c r="A848" s="44" t="e">
        <f>#REF!</f>
        <v>#REF!</v>
      </c>
      <c r="B848" s="45" t="e">
        <f>#REF!</f>
        <v>#REF!</v>
      </c>
      <c r="C848" s="20"/>
      <c r="D848" s="151">
        <f>Gia_VLieu!D$16</f>
        <v>1</v>
      </c>
      <c r="E848" s="63"/>
      <c r="F848" s="23">
        <f>SUM(F849:F859)*D848</f>
        <v>910000</v>
      </c>
      <c r="H848" s="12">
        <v>844</v>
      </c>
    </row>
    <row r="849" spans="1:8" s="5" customFormat="1">
      <c r="A849" s="15">
        <v>1</v>
      </c>
      <c r="B849" s="7" t="s">
        <v>77</v>
      </c>
      <c r="C849" s="8" t="str">
        <f>Gia_VLieu!C4</f>
        <v>gram</v>
      </c>
      <c r="D849" s="86">
        <f>Gia_VLieu!D4</f>
        <v>45000</v>
      </c>
      <c r="E849" s="72">
        <v>3</v>
      </c>
      <c r="F849" s="21">
        <f>D849*E849</f>
        <v>135000</v>
      </c>
      <c r="H849" s="12">
        <v>845</v>
      </c>
    </row>
    <row r="850" spans="1:8" s="5" customFormat="1">
      <c r="A850" s="15">
        <v>2</v>
      </c>
      <c r="B850" s="7" t="s">
        <v>78</v>
      </c>
      <c r="C850" s="8" t="str">
        <f>Gia_VLieu!C5</f>
        <v>hộp</v>
      </c>
      <c r="D850" s="86">
        <f>Gia_VLieu!D5</f>
        <v>1450000</v>
      </c>
      <c r="E850" s="72">
        <v>0.25</v>
      </c>
      <c r="F850" s="21">
        <f t="shared" ref="F850:F858" si="59">D850*E850</f>
        <v>362500</v>
      </c>
      <c r="H850" s="12">
        <v>846</v>
      </c>
    </row>
    <row r="851" spans="1:8" s="5" customFormat="1">
      <c r="A851" s="15">
        <v>3</v>
      </c>
      <c r="B851" s="7" t="s">
        <v>79</v>
      </c>
      <c r="C851" s="8" t="str">
        <f>Gia_VLieu!C6</f>
        <v>hộp</v>
      </c>
      <c r="D851" s="86">
        <f>Gia_VLieu!D6</f>
        <v>250000</v>
      </c>
      <c r="E851" s="72">
        <v>0.2</v>
      </c>
      <c r="F851" s="21">
        <f t="shared" si="59"/>
        <v>50000</v>
      </c>
      <c r="H851" s="12">
        <v>847</v>
      </c>
    </row>
    <row r="852" spans="1:8" s="5" customFormat="1">
      <c r="A852" s="15">
        <v>4</v>
      </c>
      <c r="B852" s="7" t="s">
        <v>80</v>
      </c>
      <c r="C852" s="8" t="str">
        <f>Gia_VLieu!C7</f>
        <v>quyển</v>
      </c>
      <c r="D852" s="86">
        <f>Gia_VLieu!D7</f>
        <v>10000</v>
      </c>
      <c r="E852" s="72">
        <v>10</v>
      </c>
      <c r="F852" s="21">
        <f t="shared" si="59"/>
        <v>100000</v>
      </c>
      <c r="H852" s="12">
        <v>848</v>
      </c>
    </row>
    <row r="853" spans="1:8" s="5" customFormat="1">
      <c r="A853" s="15">
        <v>5</v>
      </c>
      <c r="B853" s="7" t="s">
        <v>21</v>
      </c>
      <c r="C853" s="8" t="str">
        <f>Gia_VLieu!C8</f>
        <v>cái</v>
      </c>
      <c r="D853" s="86">
        <f>Gia_VLieu!D8</f>
        <v>2000</v>
      </c>
      <c r="E853" s="72">
        <v>10</v>
      </c>
      <c r="F853" s="21">
        <f t="shared" si="59"/>
        <v>20000</v>
      </c>
      <c r="H853" s="12">
        <v>849</v>
      </c>
    </row>
    <row r="854" spans="1:8" s="5" customFormat="1">
      <c r="A854" s="15">
        <v>6</v>
      </c>
      <c r="B854" s="7" t="s">
        <v>82</v>
      </c>
      <c r="C854" s="8" t="str">
        <f>Gia_VLieu!C9</f>
        <v>cái</v>
      </c>
      <c r="D854" s="86">
        <f>Gia_VLieu!D9</f>
        <v>8000</v>
      </c>
      <c r="E854" s="72">
        <v>6</v>
      </c>
      <c r="F854" s="21">
        <f t="shared" si="59"/>
        <v>48000</v>
      </c>
      <c r="H854" s="12">
        <v>850</v>
      </c>
    </row>
    <row r="855" spans="1:8" s="5" customFormat="1">
      <c r="A855" s="15">
        <v>7</v>
      </c>
      <c r="B855" s="7" t="s">
        <v>83</v>
      </c>
      <c r="C855" s="8" t="str">
        <f>Gia_VLieu!C10</f>
        <v>cái</v>
      </c>
      <c r="D855" s="86">
        <f>Gia_VLieu!D10</f>
        <v>10000</v>
      </c>
      <c r="E855" s="72">
        <v>3</v>
      </c>
      <c r="F855" s="21">
        <f t="shared" si="59"/>
        <v>30000</v>
      </c>
      <c r="H855" s="12">
        <v>851</v>
      </c>
    </row>
    <row r="856" spans="1:8" s="5" customFormat="1">
      <c r="A856" s="15">
        <v>8</v>
      </c>
      <c r="B856" s="7" t="s">
        <v>84</v>
      </c>
      <c r="C856" s="8" t="str">
        <f>Gia_VLieu!C11</f>
        <v>hộp</v>
      </c>
      <c r="D856" s="86">
        <f>Gia_VLieu!D11</f>
        <v>2500</v>
      </c>
      <c r="E856" s="72">
        <v>3</v>
      </c>
      <c r="F856" s="21">
        <f t="shared" si="59"/>
        <v>7500</v>
      </c>
      <c r="H856" s="12">
        <v>852</v>
      </c>
    </row>
    <row r="857" spans="1:8" s="5" customFormat="1">
      <c r="A857" s="15">
        <v>9</v>
      </c>
      <c r="B857" s="7" t="s">
        <v>85</v>
      </c>
      <c r="C857" s="8" t="str">
        <f>Gia_VLieu!C12</f>
        <v>hộp</v>
      </c>
      <c r="D857" s="86">
        <f>Gia_VLieu!D12</f>
        <v>2000</v>
      </c>
      <c r="E857" s="72">
        <v>2.5</v>
      </c>
      <c r="F857" s="21">
        <f t="shared" si="59"/>
        <v>5000</v>
      </c>
      <c r="H857" s="12">
        <v>853</v>
      </c>
    </row>
    <row r="858" spans="1:8" s="5" customFormat="1">
      <c r="A858" s="15">
        <v>10</v>
      </c>
      <c r="B858" s="7" t="s">
        <v>86</v>
      </c>
      <c r="C858" s="8" t="str">
        <f>Gia_VLieu!C13</f>
        <v>tập</v>
      </c>
      <c r="D858" s="86">
        <f>Gia_VLieu!D13</f>
        <v>8000</v>
      </c>
      <c r="E858" s="72">
        <v>4</v>
      </c>
      <c r="F858" s="21">
        <f t="shared" si="59"/>
        <v>32000</v>
      </c>
      <c r="H858" s="12">
        <v>854</v>
      </c>
    </row>
    <row r="859" spans="1:8" s="5" customFormat="1">
      <c r="A859" s="57">
        <v>11</v>
      </c>
      <c r="B859" s="58" t="s">
        <v>87</v>
      </c>
      <c r="C859" s="59" t="str">
        <f>Gia_VLieu!C14</f>
        <v>cái</v>
      </c>
      <c r="D859" s="87">
        <f>Gia_VLieu!D14</f>
        <v>15000</v>
      </c>
      <c r="E859" s="73">
        <v>8</v>
      </c>
      <c r="F859" s="55">
        <f>D859*E859</f>
        <v>120000</v>
      </c>
      <c r="H859" s="12">
        <v>855</v>
      </c>
    </row>
    <row r="860" spans="1:8" s="16" customFormat="1">
      <c r="A860" s="14" t="e">
        <f>#REF!</f>
        <v>#REF!</v>
      </c>
      <c r="B860" s="10" t="e">
        <f>#REF!</f>
        <v>#REF!</v>
      </c>
      <c r="C860" s="9"/>
      <c r="D860" s="92"/>
      <c r="E860" s="66"/>
      <c r="F860" s="22"/>
      <c r="H860" s="12">
        <v>856</v>
      </c>
    </row>
    <row r="861" spans="1:8" s="46" customFormat="1">
      <c r="A861" s="44" t="e">
        <f>#REF!</f>
        <v>#REF!</v>
      </c>
      <c r="B861" s="45" t="e">
        <f>#REF!</f>
        <v>#REF!</v>
      </c>
      <c r="C861" s="20"/>
      <c r="D861" s="90"/>
      <c r="E861" s="63"/>
      <c r="F861" s="23"/>
      <c r="H861" s="12">
        <v>857</v>
      </c>
    </row>
    <row r="862" spans="1:8" s="46" customFormat="1">
      <c r="A862" s="44" t="e">
        <f>#REF!</f>
        <v>#REF!</v>
      </c>
      <c r="B862" s="45" t="e">
        <f>#REF!</f>
        <v>#REF!</v>
      </c>
      <c r="C862" s="20"/>
      <c r="D862" s="90"/>
      <c r="E862" s="63"/>
      <c r="F862" s="23"/>
      <c r="H862" s="12">
        <v>858</v>
      </c>
    </row>
    <row r="863" spans="1:8" s="16" customFormat="1">
      <c r="A863" s="14" t="e">
        <f>#REF!</f>
        <v>#REF!</v>
      </c>
      <c r="B863" s="10" t="e">
        <f>#REF!</f>
        <v>#REF!</v>
      </c>
      <c r="C863" s="9"/>
      <c r="D863" s="92"/>
      <c r="E863" s="66"/>
      <c r="F863" s="22"/>
      <c r="H863" s="12">
        <v>859</v>
      </c>
    </row>
    <row r="864" spans="1:8" s="46" customFormat="1">
      <c r="A864" s="44" t="e">
        <f>#REF!</f>
        <v>#REF!</v>
      </c>
      <c r="B864" s="45" t="e">
        <f>#REF!</f>
        <v>#REF!</v>
      </c>
      <c r="C864" s="20"/>
      <c r="D864" s="90"/>
      <c r="E864" s="63"/>
      <c r="F864" s="23">
        <f>F866</f>
        <v>1846.5</v>
      </c>
      <c r="H864" s="12">
        <v>860</v>
      </c>
    </row>
    <row r="865" spans="1:8" s="5" customFormat="1">
      <c r="A865" s="15" t="e">
        <f>#REF!</f>
        <v>#REF!</v>
      </c>
      <c r="B865" s="7" t="e">
        <f>#REF!</f>
        <v>#REF!</v>
      </c>
      <c r="C865" s="8"/>
      <c r="D865" s="86"/>
      <c r="E865" s="43"/>
      <c r="F865" s="21">
        <f>F866</f>
        <v>1846.5</v>
      </c>
      <c r="H865" s="12">
        <v>861</v>
      </c>
    </row>
    <row r="866" spans="1:8" s="5" customFormat="1">
      <c r="A866" s="15" t="e">
        <f>#REF!</f>
        <v>#REF!</v>
      </c>
      <c r="B866" s="7" t="e">
        <f>#REF!</f>
        <v>#REF!</v>
      </c>
      <c r="C866" s="8"/>
      <c r="D866" s="151">
        <f>Gia_VLieu!D$16</f>
        <v>1</v>
      </c>
      <c r="E866" s="63"/>
      <c r="F866" s="23">
        <f>SUM(F867:F877)*D866</f>
        <v>1846.5</v>
      </c>
      <c r="H866" s="12">
        <v>862</v>
      </c>
    </row>
    <row r="867" spans="1:8" s="5" customFormat="1">
      <c r="A867" s="15">
        <v>1</v>
      </c>
      <c r="B867" s="7" t="s">
        <v>77</v>
      </c>
      <c r="C867" s="8" t="str">
        <f>Gia_VLieu!C4</f>
        <v>gram</v>
      </c>
      <c r="D867" s="86">
        <f>Gia_VLieu!D4</f>
        <v>45000</v>
      </c>
      <c r="E867" s="72">
        <v>1E-3</v>
      </c>
      <c r="F867" s="21">
        <f>D867*E867</f>
        <v>45</v>
      </c>
      <c r="H867" s="12">
        <v>863</v>
      </c>
    </row>
    <row r="868" spans="1:8" s="5" customFormat="1">
      <c r="A868" s="15">
        <v>2</v>
      </c>
      <c r="B868" s="7" t="s">
        <v>78</v>
      </c>
      <c r="C868" s="8" t="str">
        <f>Gia_VLieu!C5</f>
        <v>hộp</v>
      </c>
      <c r="D868" s="86">
        <f>Gia_VLieu!D5</f>
        <v>1450000</v>
      </c>
      <c r="E868" s="72">
        <v>1E-3</v>
      </c>
      <c r="F868" s="21">
        <f t="shared" ref="F868:F876" si="60">D868*E868</f>
        <v>1450</v>
      </c>
      <c r="H868" s="12">
        <v>864</v>
      </c>
    </row>
    <row r="869" spans="1:8" s="5" customFormat="1">
      <c r="A869" s="15">
        <v>3</v>
      </c>
      <c r="B869" s="7" t="s">
        <v>79</v>
      </c>
      <c r="C869" s="8" t="str">
        <f>Gia_VLieu!C6</f>
        <v>hộp</v>
      </c>
      <c r="D869" s="86">
        <f>Gia_VLieu!D6</f>
        <v>250000</v>
      </c>
      <c r="E869" s="72">
        <v>1E-3</v>
      </c>
      <c r="F869" s="21">
        <f t="shared" si="60"/>
        <v>250</v>
      </c>
      <c r="H869" s="12">
        <v>865</v>
      </c>
    </row>
    <row r="870" spans="1:8" s="5" customFormat="1">
      <c r="A870" s="15">
        <v>4</v>
      </c>
      <c r="B870" s="7" t="s">
        <v>80</v>
      </c>
      <c r="C870" s="8" t="str">
        <f>Gia_VLieu!C7</f>
        <v>quyển</v>
      </c>
      <c r="D870" s="86">
        <f>Gia_VLieu!D7</f>
        <v>10000</v>
      </c>
      <c r="E870" s="72">
        <v>2E-3</v>
      </c>
      <c r="F870" s="21">
        <f t="shared" si="60"/>
        <v>20</v>
      </c>
      <c r="H870" s="12">
        <v>866</v>
      </c>
    </row>
    <row r="871" spans="1:8" s="5" customFormat="1">
      <c r="A871" s="15">
        <v>5</v>
      </c>
      <c r="B871" s="7" t="s">
        <v>21</v>
      </c>
      <c r="C871" s="8" t="str">
        <f>Gia_VLieu!C8</f>
        <v>cái</v>
      </c>
      <c r="D871" s="86">
        <f>Gia_VLieu!D8</f>
        <v>2000</v>
      </c>
      <c r="E871" s="72">
        <v>0.01</v>
      </c>
      <c r="F871" s="21">
        <f t="shared" si="60"/>
        <v>20</v>
      </c>
      <c r="H871" s="12">
        <v>867</v>
      </c>
    </row>
    <row r="872" spans="1:8" s="5" customFormat="1">
      <c r="A872" s="15">
        <v>6</v>
      </c>
      <c r="B872" s="7" t="s">
        <v>82</v>
      </c>
      <c r="C872" s="8" t="str">
        <f>Gia_VLieu!C9</f>
        <v>cái</v>
      </c>
      <c r="D872" s="86">
        <f>Gia_VLieu!D9</f>
        <v>8000</v>
      </c>
      <c r="E872" s="72">
        <v>1E-3</v>
      </c>
      <c r="F872" s="21">
        <f t="shared" si="60"/>
        <v>8</v>
      </c>
      <c r="H872" s="12">
        <v>868</v>
      </c>
    </row>
    <row r="873" spans="1:8" s="5" customFormat="1">
      <c r="A873" s="15">
        <v>7</v>
      </c>
      <c r="B873" s="7" t="s">
        <v>83</v>
      </c>
      <c r="C873" s="8" t="str">
        <f>Gia_VLieu!C10</f>
        <v>cái</v>
      </c>
      <c r="D873" s="86">
        <f>Gia_VLieu!D10</f>
        <v>10000</v>
      </c>
      <c r="E873" s="72">
        <v>1E-3</v>
      </c>
      <c r="F873" s="21">
        <f t="shared" si="60"/>
        <v>10</v>
      </c>
      <c r="H873" s="12">
        <v>869</v>
      </c>
    </row>
    <row r="874" spans="1:8" s="5" customFormat="1">
      <c r="A874" s="15">
        <v>8</v>
      </c>
      <c r="B874" s="7" t="s">
        <v>84</v>
      </c>
      <c r="C874" s="8" t="str">
        <f>Gia_VLieu!C11</f>
        <v>hộp</v>
      </c>
      <c r="D874" s="86">
        <f>Gia_VLieu!D11</f>
        <v>2500</v>
      </c>
      <c r="E874" s="72">
        <v>1E-3</v>
      </c>
      <c r="F874" s="21">
        <f t="shared" si="60"/>
        <v>2.5</v>
      </c>
      <c r="H874" s="12">
        <v>870</v>
      </c>
    </row>
    <row r="875" spans="1:8" s="5" customFormat="1">
      <c r="A875" s="15">
        <v>9</v>
      </c>
      <c r="B875" s="7" t="s">
        <v>85</v>
      </c>
      <c r="C875" s="8" t="str">
        <f>Gia_VLieu!C12</f>
        <v>hộp</v>
      </c>
      <c r="D875" s="86">
        <f>Gia_VLieu!D12</f>
        <v>2000</v>
      </c>
      <c r="E875" s="72">
        <v>1E-3</v>
      </c>
      <c r="F875" s="21">
        <f t="shared" si="60"/>
        <v>2</v>
      </c>
      <c r="H875" s="12">
        <v>871</v>
      </c>
    </row>
    <row r="876" spans="1:8" s="5" customFormat="1">
      <c r="A876" s="15">
        <v>10</v>
      </c>
      <c r="B876" s="7" t="s">
        <v>86</v>
      </c>
      <c r="C876" s="8" t="str">
        <f>Gia_VLieu!C13</f>
        <v>tập</v>
      </c>
      <c r="D876" s="86">
        <f>Gia_VLieu!D13</f>
        <v>8000</v>
      </c>
      <c r="E876" s="72">
        <v>3.0000000000000001E-3</v>
      </c>
      <c r="F876" s="21">
        <f t="shared" si="60"/>
        <v>24</v>
      </c>
      <c r="H876" s="12">
        <v>872</v>
      </c>
    </row>
    <row r="877" spans="1:8" s="5" customFormat="1">
      <c r="A877" s="57">
        <v>11</v>
      </c>
      <c r="B877" s="58" t="s">
        <v>87</v>
      </c>
      <c r="C877" s="59" t="str">
        <f>Gia_VLieu!C14</f>
        <v>cái</v>
      </c>
      <c r="D877" s="87">
        <f>Gia_VLieu!D14</f>
        <v>15000</v>
      </c>
      <c r="E877" s="73">
        <v>1E-3</v>
      </c>
      <c r="F877" s="55">
        <f>D877*E877</f>
        <v>15</v>
      </c>
      <c r="H877" s="12">
        <v>873</v>
      </c>
    </row>
    <row r="878" spans="1:8" s="46" customFormat="1">
      <c r="A878" s="44" t="e">
        <f>#REF!</f>
        <v>#REF!</v>
      </c>
      <c r="B878" s="45" t="e">
        <f>#REF!</f>
        <v>#REF!</v>
      </c>
      <c r="C878" s="20"/>
      <c r="D878" s="151">
        <f>Gia_VLieu!D$16</f>
        <v>1</v>
      </c>
      <c r="E878" s="63"/>
      <c r="F878" s="23">
        <f>SUM(F879:F889)*D878</f>
        <v>1818.5</v>
      </c>
      <c r="H878" s="12">
        <v>874</v>
      </c>
    </row>
    <row r="879" spans="1:8" s="5" customFormat="1">
      <c r="A879" s="15">
        <v>1</v>
      </c>
      <c r="B879" s="7" t="s">
        <v>77</v>
      </c>
      <c r="C879" s="8" t="str">
        <f>Gia_VLieu!C4</f>
        <v>gram</v>
      </c>
      <c r="D879" s="86">
        <f>Gia_VLieu!D4</f>
        <v>45000</v>
      </c>
      <c r="E879" s="72">
        <v>1E-3</v>
      </c>
      <c r="F879" s="21">
        <f>D879*E879</f>
        <v>45</v>
      </c>
      <c r="H879" s="12">
        <v>875</v>
      </c>
    </row>
    <row r="880" spans="1:8" s="5" customFormat="1">
      <c r="A880" s="15">
        <v>2</v>
      </c>
      <c r="B880" s="7" t="s">
        <v>78</v>
      </c>
      <c r="C880" s="8" t="str">
        <f>Gia_VLieu!C5</f>
        <v>hộp</v>
      </c>
      <c r="D880" s="86">
        <f>Gia_VLieu!D5</f>
        <v>1450000</v>
      </c>
      <c r="E880" s="72">
        <v>1E-3</v>
      </c>
      <c r="F880" s="21">
        <f t="shared" ref="F880:F888" si="61">D880*E880</f>
        <v>1450</v>
      </c>
      <c r="H880" s="12">
        <v>876</v>
      </c>
    </row>
    <row r="881" spans="1:8" s="5" customFormat="1">
      <c r="A881" s="15">
        <v>3</v>
      </c>
      <c r="B881" s="7" t="s">
        <v>79</v>
      </c>
      <c r="C881" s="8" t="str">
        <f>Gia_VLieu!C6</f>
        <v>hộp</v>
      </c>
      <c r="D881" s="86">
        <f>Gia_VLieu!D6</f>
        <v>250000</v>
      </c>
      <c r="E881" s="72">
        <v>1E-3</v>
      </c>
      <c r="F881" s="21">
        <f t="shared" si="61"/>
        <v>250</v>
      </c>
      <c r="H881" s="12">
        <v>877</v>
      </c>
    </row>
    <row r="882" spans="1:8" s="5" customFormat="1">
      <c r="A882" s="15">
        <v>4</v>
      </c>
      <c r="B882" s="7" t="s">
        <v>80</v>
      </c>
      <c r="C882" s="8" t="str">
        <f>Gia_VLieu!C7</f>
        <v>quyển</v>
      </c>
      <c r="D882" s="86">
        <f>Gia_VLieu!D7</f>
        <v>10000</v>
      </c>
      <c r="E882" s="72">
        <v>1E-3</v>
      </c>
      <c r="F882" s="21">
        <f t="shared" si="61"/>
        <v>10</v>
      </c>
      <c r="H882" s="12">
        <v>878</v>
      </c>
    </row>
    <row r="883" spans="1:8" s="5" customFormat="1">
      <c r="A883" s="15">
        <v>5</v>
      </c>
      <c r="B883" s="7" t="s">
        <v>21</v>
      </c>
      <c r="C883" s="8" t="str">
        <f>Gia_VLieu!C8</f>
        <v>cái</v>
      </c>
      <c r="D883" s="86">
        <f>Gia_VLieu!D8</f>
        <v>2000</v>
      </c>
      <c r="E883" s="72">
        <v>5.0000000000000001E-3</v>
      </c>
      <c r="F883" s="21">
        <f t="shared" si="61"/>
        <v>10</v>
      </c>
      <c r="H883" s="12">
        <v>879</v>
      </c>
    </row>
    <row r="884" spans="1:8" s="5" customFormat="1">
      <c r="A884" s="15">
        <v>6</v>
      </c>
      <c r="B884" s="7" t="s">
        <v>82</v>
      </c>
      <c r="C884" s="8" t="str">
        <f>Gia_VLieu!C9</f>
        <v>cái</v>
      </c>
      <c r="D884" s="86">
        <f>Gia_VLieu!D9</f>
        <v>8000</v>
      </c>
      <c r="E884" s="72">
        <v>1E-3</v>
      </c>
      <c r="F884" s="21">
        <f t="shared" si="61"/>
        <v>8</v>
      </c>
      <c r="H884" s="12">
        <v>880</v>
      </c>
    </row>
    <row r="885" spans="1:8" s="5" customFormat="1">
      <c r="A885" s="15">
        <v>7</v>
      </c>
      <c r="B885" s="7" t="s">
        <v>83</v>
      </c>
      <c r="C885" s="8" t="str">
        <f>Gia_VLieu!C10</f>
        <v>cái</v>
      </c>
      <c r="D885" s="86">
        <f>Gia_VLieu!D10</f>
        <v>10000</v>
      </c>
      <c r="E885" s="72">
        <v>1E-3</v>
      </c>
      <c r="F885" s="21">
        <f t="shared" si="61"/>
        <v>10</v>
      </c>
      <c r="H885" s="12">
        <v>881</v>
      </c>
    </row>
    <row r="886" spans="1:8" s="5" customFormat="1">
      <c r="A886" s="15">
        <v>8</v>
      </c>
      <c r="B886" s="7" t="s">
        <v>84</v>
      </c>
      <c r="C886" s="8" t="str">
        <f>Gia_VLieu!C11</f>
        <v>hộp</v>
      </c>
      <c r="D886" s="86">
        <f>Gia_VLieu!D11</f>
        <v>2500</v>
      </c>
      <c r="E886" s="72">
        <v>1E-3</v>
      </c>
      <c r="F886" s="21">
        <f t="shared" si="61"/>
        <v>2.5</v>
      </c>
      <c r="H886" s="12">
        <v>882</v>
      </c>
    </row>
    <row r="887" spans="1:8" s="5" customFormat="1">
      <c r="A887" s="15">
        <v>9</v>
      </c>
      <c r="B887" s="7" t="s">
        <v>85</v>
      </c>
      <c r="C887" s="8" t="str">
        <f>Gia_VLieu!C12</f>
        <v>hộp</v>
      </c>
      <c r="D887" s="86">
        <f>Gia_VLieu!D12</f>
        <v>2000</v>
      </c>
      <c r="E887" s="72">
        <v>1E-3</v>
      </c>
      <c r="F887" s="21">
        <f t="shared" si="61"/>
        <v>2</v>
      </c>
      <c r="H887" s="12">
        <v>883</v>
      </c>
    </row>
    <row r="888" spans="1:8" s="5" customFormat="1">
      <c r="A888" s="15">
        <v>10</v>
      </c>
      <c r="B888" s="7" t="s">
        <v>86</v>
      </c>
      <c r="C888" s="8" t="str">
        <f>Gia_VLieu!C13</f>
        <v>tập</v>
      </c>
      <c r="D888" s="86">
        <f>Gia_VLieu!D13</f>
        <v>8000</v>
      </c>
      <c r="E888" s="72">
        <v>2E-3</v>
      </c>
      <c r="F888" s="21">
        <f t="shared" si="61"/>
        <v>16</v>
      </c>
      <c r="H888" s="12">
        <v>884</v>
      </c>
    </row>
    <row r="889" spans="1:8" s="5" customFormat="1">
      <c r="A889" s="57">
        <v>11</v>
      </c>
      <c r="B889" s="58" t="s">
        <v>87</v>
      </c>
      <c r="C889" s="59" t="str">
        <f>Gia_VLieu!C14</f>
        <v>cái</v>
      </c>
      <c r="D889" s="87">
        <f>Gia_VLieu!D14</f>
        <v>15000</v>
      </c>
      <c r="E889" s="73">
        <v>1E-3</v>
      </c>
      <c r="F889" s="55">
        <f>D889*E889</f>
        <v>15</v>
      </c>
      <c r="H889" s="12">
        <v>885</v>
      </c>
    </row>
    <row r="890" spans="1:8" s="46" customFormat="1">
      <c r="A890" s="78" t="e">
        <f>#REF!</f>
        <v>#REF!</v>
      </c>
      <c r="B890" s="79" t="e">
        <f>#REF!</f>
        <v>#REF!</v>
      </c>
      <c r="C890" s="80"/>
      <c r="D890" s="93"/>
      <c r="E890" s="81"/>
      <c r="F890" s="82"/>
      <c r="H890" s="12">
        <v>886</v>
      </c>
    </row>
    <row r="891" spans="1:8" s="16" customFormat="1">
      <c r="A891" s="48" t="e">
        <f>#REF!</f>
        <v>#REF!</v>
      </c>
      <c r="B891" s="49" t="e">
        <f>#REF!</f>
        <v>#REF!</v>
      </c>
      <c r="C891" s="50"/>
      <c r="D891" s="91"/>
      <c r="E891" s="65"/>
      <c r="F891" s="40"/>
      <c r="H891" s="12">
        <v>887</v>
      </c>
    </row>
    <row r="892" spans="1:8" s="46" customFormat="1">
      <c r="A892" s="44" t="e">
        <f>#REF!</f>
        <v>#REF!</v>
      </c>
      <c r="B892" s="45" t="e">
        <f>#REF!</f>
        <v>#REF!</v>
      </c>
      <c r="C892" s="20"/>
      <c r="D892" s="151">
        <f>Gia_VLieu!D$16</f>
        <v>1</v>
      </c>
      <c r="E892" s="63"/>
      <c r="F892" s="23">
        <f>SUM(F893:F903)*D892</f>
        <v>2330000</v>
      </c>
      <c r="H892" s="12">
        <v>888</v>
      </c>
    </row>
    <row r="893" spans="1:8" s="5" customFormat="1">
      <c r="A893" s="15">
        <v>1</v>
      </c>
      <c r="B893" s="7" t="s">
        <v>77</v>
      </c>
      <c r="C893" s="8" t="str">
        <f>Gia_VLieu!C4</f>
        <v>gram</v>
      </c>
      <c r="D893" s="86">
        <f>Gia_VLieu!D4</f>
        <v>45000</v>
      </c>
      <c r="E893" s="72">
        <v>10</v>
      </c>
      <c r="F893" s="21">
        <f>D893*E893</f>
        <v>450000</v>
      </c>
      <c r="H893" s="12">
        <v>889</v>
      </c>
    </row>
    <row r="894" spans="1:8" s="5" customFormat="1">
      <c r="A894" s="15">
        <v>2</v>
      </c>
      <c r="B894" s="7" t="s">
        <v>78</v>
      </c>
      <c r="C894" s="8" t="str">
        <f>Gia_VLieu!C5</f>
        <v>hộp</v>
      </c>
      <c r="D894" s="86">
        <f>Gia_VLieu!D5</f>
        <v>1450000</v>
      </c>
      <c r="E894" s="72">
        <v>0.5</v>
      </c>
      <c r="F894" s="21">
        <f t="shared" ref="F894:F902" si="62">D894*E894</f>
        <v>725000</v>
      </c>
      <c r="H894" s="12">
        <v>890</v>
      </c>
    </row>
    <row r="895" spans="1:8" s="5" customFormat="1">
      <c r="A895" s="15">
        <v>3</v>
      </c>
      <c r="B895" s="7" t="s">
        <v>79</v>
      </c>
      <c r="C895" s="8" t="str">
        <f>Gia_VLieu!C6</f>
        <v>hộp</v>
      </c>
      <c r="D895" s="86">
        <f>Gia_VLieu!D6</f>
        <v>250000</v>
      </c>
      <c r="E895" s="72">
        <v>0.4</v>
      </c>
      <c r="F895" s="21">
        <f t="shared" si="62"/>
        <v>100000</v>
      </c>
      <c r="H895" s="12">
        <v>891</v>
      </c>
    </row>
    <row r="896" spans="1:8" s="5" customFormat="1">
      <c r="A896" s="15">
        <v>4</v>
      </c>
      <c r="B896" s="7" t="s">
        <v>80</v>
      </c>
      <c r="C896" s="8" t="str">
        <f>Gia_VLieu!C7</f>
        <v>quyển</v>
      </c>
      <c r="D896" s="86">
        <f>Gia_VLieu!D7</f>
        <v>10000</v>
      </c>
      <c r="E896" s="72">
        <v>30</v>
      </c>
      <c r="F896" s="21">
        <f t="shared" si="62"/>
        <v>300000</v>
      </c>
      <c r="H896" s="12">
        <v>892</v>
      </c>
    </row>
    <row r="897" spans="1:8" s="5" customFormat="1">
      <c r="A897" s="15">
        <v>5</v>
      </c>
      <c r="B897" s="7" t="s">
        <v>21</v>
      </c>
      <c r="C897" s="8" t="str">
        <f>Gia_VLieu!C8</f>
        <v>cái</v>
      </c>
      <c r="D897" s="86">
        <f>Gia_VLieu!D8</f>
        <v>2000</v>
      </c>
      <c r="E897" s="72">
        <v>32</v>
      </c>
      <c r="F897" s="21">
        <f t="shared" si="62"/>
        <v>64000</v>
      </c>
      <c r="H897" s="12">
        <v>893</v>
      </c>
    </row>
    <row r="898" spans="1:8" s="5" customFormat="1">
      <c r="A898" s="15">
        <v>6</v>
      </c>
      <c r="B898" s="7" t="s">
        <v>82</v>
      </c>
      <c r="C898" s="8" t="str">
        <f>Gia_VLieu!C9</f>
        <v>cái</v>
      </c>
      <c r="D898" s="86">
        <f>Gia_VLieu!D9</f>
        <v>8000</v>
      </c>
      <c r="E898" s="72">
        <v>15</v>
      </c>
      <c r="F898" s="21">
        <f t="shared" si="62"/>
        <v>120000</v>
      </c>
      <c r="H898" s="12">
        <v>894</v>
      </c>
    </row>
    <row r="899" spans="1:8" s="5" customFormat="1">
      <c r="A899" s="15">
        <v>7</v>
      </c>
      <c r="B899" s="7" t="s">
        <v>83</v>
      </c>
      <c r="C899" s="8" t="str">
        <f>Gia_VLieu!C10</f>
        <v>cái</v>
      </c>
      <c r="D899" s="86">
        <f>Gia_VLieu!D10</f>
        <v>10000</v>
      </c>
      <c r="E899" s="72">
        <v>15</v>
      </c>
      <c r="F899" s="21">
        <f t="shared" si="62"/>
        <v>150000</v>
      </c>
      <c r="H899" s="12">
        <v>895</v>
      </c>
    </row>
    <row r="900" spans="1:8" s="5" customFormat="1">
      <c r="A900" s="15">
        <v>8</v>
      </c>
      <c r="B900" s="7" t="s">
        <v>84</v>
      </c>
      <c r="C900" s="8" t="str">
        <f>Gia_VLieu!C11</f>
        <v>hộp</v>
      </c>
      <c r="D900" s="86">
        <f>Gia_VLieu!D11</f>
        <v>2500</v>
      </c>
      <c r="E900" s="72">
        <v>10</v>
      </c>
      <c r="F900" s="21">
        <f t="shared" si="62"/>
        <v>25000</v>
      </c>
      <c r="H900" s="12">
        <v>896</v>
      </c>
    </row>
    <row r="901" spans="1:8" s="5" customFormat="1">
      <c r="A901" s="15">
        <v>9</v>
      </c>
      <c r="B901" s="7" t="s">
        <v>85</v>
      </c>
      <c r="C901" s="8" t="str">
        <f>Gia_VLieu!C12</f>
        <v>hộp</v>
      </c>
      <c r="D901" s="86">
        <f>Gia_VLieu!D12</f>
        <v>2000</v>
      </c>
      <c r="E901" s="72">
        <v>8</v>
      </c>
      <c r="F901" s="21">
        <f t="shared" si="62"/>
        <v>16000</v>
      </c>
      <c r="H901" s="12">
        <v>897</v>
      </c>
    </row>
    <row r="902" spans="1:8" s="5" customFormat="1">
      <c r="A902" s="15">
        <v>10</v>
      </c>
      <c r="B902" s="7" t="s">
        <v>86</v>
      </c>
      <c r="C902" s="8" t="str">
        <f>Gia_VLieu!C13</f>
        <v>tập</v>
      </c>
      <c r="D902" s="86">
        <f>Gia_VLieu!D13</f>
        <v>8000</v>
      </c>
      <c r="E902" s="72">
        <v>10</v>
      </c>
      <c r="F902" s="21">
        <f t="shared" si="62"/>
        <v>80000</v>
      </c>
      <c r="H902" s="12">
        <v>898</v>
      </c>
    </row>
    <row r="903" spans="1:8" s="5" customFormat="1">
      <c r="A903" s="57">
        <v>11</v>
      </c>
      <c r="B903" s="58" t="s">
        <v>87</v>
      </c>
      <c r="C903" s="59" t="str">
        <f>Gia_VLieu!C14</f>
        <v>cái</v>
      </c>
      <c r="D903" s="87">
        <f>Gia_VLieu!D14</f>
        <v>15000</v>
      </c>
      <c r="E903" s="73">
        <v>20</v>
      </c>
      <c r="F903" s="55">
        <f>D903*E903</f>
        <v>300000</v>
      </c>
      <c r="H903" s="12">
        <v>899</v>
      </c>
    </row>
    <row r="904" spans="1:8" s="46" customFormat="1">
      <c r="A904" s="44" t="e">
        <f>#REF!</f>
        <v>#REF!</v>
      </c>
      <c r="B904" s="45" t="e">
        <f>#REF!</f>
        <v>#REF!</v>
      </c>
      <c r="C904" s="20"/>
      <c r="D904" s="151">
        <f>Gia_VLieu!D$16</f>
        <v>1</v>
      </c>
      <c r="E904" s="63"/>
      <c r="F904" s="23">
        <f>SUM(F905:F915)*D904</f>
        <v>1114500</v>
      </c>
      <c r="H904" s="12">
        <v>900</v>
      </c>
    </row>
    <row r="905" spans="1:8" s="5" customFormat="1">
      <c r="A905" s="15">
        <v>1</v>
      </c>
      <c r="B905" s="7" t="s">
        <v>77</v>
      </c>
      <c r="C905" s="8" t="str">
        <f>Gia_VLieu!C4</f>
        <v>gram</v>
      </c>
      <c r="D905" s="86">
        <f>Gia_VLieu!D4</f>
        <v>45000</v>
      </c>
      <c r="E905" s="72">
        <v>2</v>
      </c>
      <c r="F905" s="21">
        <f>D905*E905</f>
        <v>90000</v>
      </c>
      <c r="H905" s="12">
        <v>901</v>
      </c>
    </row>
    <row r="906" spans="1:8" s="5" customFormat="1">
      <c r="A906" s="15">
        <v>2</v>
      </c>
      <c r="B906" s="7" t="s">
        <v>78</v>
      </c>
      <c r="C906" s="8" t="str">
        <f>Gia_VLieu!C5</f>
        <v>hộp</v>
      </c>
      <c r="D906" s="86">
        <f>Gia_VLieu!D5</f>
        <v>1450000</v>
      </c>
      <c r="E906" s="72">
        <v>0.1</v>
      </c>
      <c r="F906" s="21">
        <f t="shared" ref="F906:F914" si="63">D906*E906</f>
        <v>145000</v>
      </c>
      <c r="H906" s="12">
        <v>902</v>
      </c>
    </row>
    <row r="907" spans="1:8" s="5" customFormat="1">
      <c r="A907" s="15">
        <v>3</v>
      </c>
      <c r="B907" s="7" t="s">
        <v>79</v>
      </c>
      <c r="C907" s="8" t="str">
        <f>Gia_VLieu!C6</f>
        <v>hộp</v>
      </c>
      <c r="D907" s="86">
        <f>Gia_VLieu!D6</f>
        <v>250000</v>
      </c>
      <c r="E907" s="72">
        <v>0.05</v>
      </c>
      <c r="F907" s="21">
        <f t="shared" si="63"/>
        <v>12500</v>
      </c>
      <c r="H907" s="12">
        <v>903</v>
      </c>
    </row>
    <row r="908" spans="1:8" s="5" customFormat="1">
      <c r="A908" s="15">
        <v>4</v>
      </c>
      <c r="B908" s="7" t="s">
        <v>80</v>
      </c>
      <c r="C908" s="8" t="str">
        <f>Gia_VLieu!C7</f>
        <v>quyển</v>
      </c>
      <c r="D908" s="86">
        <f>Gia_VLieu!D7</f>
        <v>10000</v>
      </c>
      <c r="E908" s="72">
        <v>25</v>
      </c>
      <c r="F908" s="21">
        <f t="shared" si="63"/>
        <v>250000</v>
      </c>
      <c r="H908" s="12">
        <v>904</v>
      </c>
    </row>
    <row r="909" spans="1:8" s="5" customFormat="1">
      <c r="A909" s="15">
        <v>5</v>
      </c>
      <c r="B909" s="7" t="s">
        <v>21</v>
      </c>
      <c r="C909" s="8" t="str">
        <f>Gia_VLieu!C8</f>
        <v>cái</v>
      </c>
      <c r="D909" s="86">
        <f>Gia_VLieu!D8</f>
        <v>2000</v>
      </c>
      <c r="E909" s="72">
        <v>30</v>
      </c>
      <c r="F909" s="21">
        <f t="shared" si="63"/>
        <v>60000</v>
      </c>
      <c r="H909" s="12">
        <v>905</v>
      </c>
    </row>
    <row r="910" spans="1:8" s="5" customFormat="1">
      <c r="A910" s="15">
        <v>6</v>
      </c>
      <c r="B910" s="7" t="s">
        <v>82</v>
      </c>
      <c r="C910" s="8" t="str">
        <f>Gia_VLieu!C9</f>
        <v>cái</v>
      </c>
      <c r="D910" s="86">
        <f>Gia_VLieu!D9</f>
        <v>8000</v>
      </c>
      <c r="E910" s="72">
        <v>14</v>
      </c>
      <c r="F910" s="21">
        <f t="shared" si="63"/>
        <v>112000</v>
      </c>
      <c r="H910" s="12">
        <v>906</v>
      </c>
    </row>
    <row r="911" spans="1:8" s="5" customFormat="1">
      <c r="A911" s="15">
        <v>7</v>
      </c>
      <c r="B911" s="7" t="s">
        <v>83</v>
      </c>
      <c r="C911" s="8" t="str">
        <f>Gia_VLieu!C10</f>
        <v>cái</v>
      </c>
      <c r="D911" s="86">
        <f>Gia_VLieu!D10</f>
        <v>10000</v>
      </c>
      <c r="E911" s="72">
        <v>14</v>
      </c>
      <c r="F911" s="21">
        <f t="shared" si="63"/>
        <v>140000</v>
      </c>
      <c r="H911" s="12">
        <v>907</v>
      </c>
    </row>
    <row r="912" spans="1:8" s="5" customFormat="1">
      <c r="A912" s="15">
        <v>8</v>
      </c>
      <c r="B912" s="7" t="s">
        <v>84</v>
      </c>
      <c r="C912" s="8" t="str">
        <f>Gia_VLieu!C11</f>
        <v>hộp</v>
      </c>
      <c r="D912" s="86">
        <f>Gia_VLieu!D11</f>
        <v>2500</v>
      </c>
      <c r="E912" s="72">
        <v>8</v>
      </c>
      <c r="F912" s="21">
        <f t="shared" si="63"/>
        <v>20000</v>
      </c>
      <c r="H912" s="12">
        <v>908</v>
      </c>
    </row>
    <row r="913" spans="1:8" s="5" customFormat="1">
      <c r="A913" s="15">
        <v>9</v>
      </c>
      <c r="B913" s="7" t="s">
        <v>85</v>
      </c>
      <c r="C913" s="8" t="str">
        <f>Gia_VLieu!C12</f>
        <v>hộp</v>
      </c>
      <c r="D913" s="86">
        <f>Gia_VLieu!D12</f>
        <v>2000</v>
      </c>
      <c r="E913" s="72">
        <v>6</v>
      </c>
      <c r="F913" s="21">
        <f t="shared" si="63"/>
        <v>12000</v>
      </c>
      <c r="H913" s="12">
        <v>909</v>
      </c>
    </row>
    <row r="914" spans="1:8" s="5" customFormat="1">
      <c r="A914" s="15">
        <v>10</v>
      </c>
      <c r="B914" s="7" t="s">
        <v>86</v>
      </c>
      <c r="C914" s="8" t="str">
        <f>Gia_VLieu!C13</f>
        <v>tập</v>
      </c>
      <c r="D914" s="86">
        <f>Gia_VLieu!D13</f>
        <v>8000</v>
      </c>
      <c r="E914" s="72">
        <v>6</v>
      </c>
      <c r="F914" s="21">
        <f t="shared" si="63"/>
        <v>48000</v>
      </c>
      <c r="H914" s="12">
        <v>910</v>
      </c>
    </row>
    <row r="915" spans="1:8" s="5" customFormat="1">
      <c r="A915" s="57">
        <v>11</v>
      </c>
      <c r="B915" s="58" t="s">
        <v>87</v>
      </c>
      <c r="C915" s="59" t="str">
        <f>Gia_VLieu!C14</f>
        <v>cái</v>
      </c>
      <c r="D915" s="87">
        <f>Gia_VLieu!D14</f>
        <v>15000</v>
      </c>
      <c r="E915" s="73">
        <v>15</v>
      </c>
      <c r="F915" s="55">
        <f>D915*E915</f>
        <v>225000</v>
      </c>
      <c r="H915" s="12">
        <v>911</v>
      </c>
    </row>
    <row r="916" spans="1:8" s="16" customFormat="1">
      <c r="A916" s="14" t="e">
        <f>#REF!</f>
        <v>#REF!</v>
      </c>
      <c r="B916" s="10" t="e">
        <f>#REF!</f>
        <v>#REF!</v>
      </c>
      <c r="C916" s="9"/>
      <c r="D916" s="92"/>
      <c r="E916" s="66"/>
      <c r="F916" s="22"/>
      <c r="H916" s="12">
        <v>912</v>
      </c>
    </row>
    <row r="917" spans="1:8" s="46" customFormat="1">
      <c r="A917" s="44" t="e">
        <f>#REF!</f>
        <v>#REF!</v>
      </c>
      <c r="B917" s="45" t="e">
        <f>#REF!</f>
        <v>#REF!</v>
      </c>
      <c r="C917" s="20"/>
      <c r="D917" s="151">
        <f>Gia_VLieu!D$16</f>
        <v>1</v>
      </c>
      <c r="E917" s="63"/>
      <c r="F917" s="23">
        <f>SUM(F918:F928)*D917</f>
        <v>9154500</v>
      </c>
      <c r="H917" s="12">
        <v>913</v>
      </c>
    </row>
    <row r="918" spans="1:8" s="5" customFormat="1">
      <c r="A918" s="15">
        <v>1</v>
      </c>
      <c r="B918" s="7" t="s">
        <v>77</v>
      </c>
      <c r="C918" s="8" t="str">
        <f>Gia_VLieu!C4</f>
        <v>gram</v>
      </c>
      <c r="D918" s="86">
        <f>Gia_VLieu!D4</f>
        <v>45000</v>
      </c>
      <c r="E918" s="72">
        <v>40</v>
      </c>
      <c r="F918" s="21">
        <f>D918*E918</f>
        <v>1800000</v>
      </c>
      <c r="H918" s="12">
        <v>914</v>
      </c>
    </row>
    <row r="919" spans="1:8" s="5" customFormat="1">
      <c r="A919" s="15">
        <v>2</v>
      </c>
      <c r="B919" s="7" t="s">
        <v>78</v>
      </c>
      <c r="C919" s="8" t="str">
        <f>Gia_VLieu!C5</f>
        <v>hộp</v>
      </c>
      <c r="D919" s="86">
        <f>Gia_VLieu!D5</f>
        <v>1450000</v>
      </c>
      <c r="E919" s="72">
        <v>3.5</v>
      </c>
      <c r="F919" s="21">
        <f t="shared" ref="F919:F927" si="64">D919*E919</f>
        <v>5075000</v>
      </c>
      <c r="H919" s="12">
        <v>915</v>
      </c>
    </row>
    <row r="920" spans="1:8" s="5" customFormat="1">
      <c r="A920" s="15">
        <v>3</v>
      </c>
      <c r="B920" s="7" t="s">
        <v>79</v>
      </c>
      <c r="C920" s="8" t="str">
        <f>Gia_VLieu!C6</f>
        <v>hộp</v>
      </c>
      <c r="D920" s="86">
        <f>Gia_VLieu!D6</f>
        <v>250000</v>
      </c>
      <c r="E920" s="72">
        <v>1.2</v>
      </c>
      <c r="F920" s="21">
        <f t="shared" si="64"/>
        <v>300000</v>
      </c>
      <c r="H920" s="12">
        <v>916</v>
      </c>
    </row>
    <row r="921" spans="1:8" s="5" customFormat="1">
      <c r="A921" s="15">
        <v>4</v>
      </c>
      <c r="B921" s="7" t="s">
        <v>80</v>
      </c>
      <c r="C921" s="8" t="str">
        <f>Gia_VLieu!C7</f>
        <v>quyển</v>
      </c>
      <c r="D921" s="86">
        <f>Gia_VLieu!D7</f>
        <v>10000</v>
      </c>
      <c r="E921" s="72">
        <v>35</v>
      </c>
      <c r="F921" s="21">
        <f t="shared" si="64"/>
        <v>350000</v>
      </c>
      <c r="H921" s="12">
        <v>917</v>
      </c>
    </row>
    <row r="922" spans="1:8" s="5" customFormat="1">
      <c r="A922" s="15">
        <v>5</v>
      </c>
      <c r="B922" s="7" t="s">
        <v>21</v>
      </c>
      <c r="C922" s="8" t="str">
        <f>Gia_VLieu!C8</f>
        <v>cái</v>
      </c>
      <c r="D922" s="86">
        <f>Gia_VLieu!D8</f>
        <v>2000</v>
      </c>
      <c r="E922" s="72">
        <v>50</v>
      </c>
      <c r="F922" s="21">
        <f t="shared" si="64"/>
        <v>100000</v>
      </c>
      <c r="H922" s="12">
        <v>918</v>
      </c>
    </row>
    <row r="923" spans="1:8" s="5" customFormat="1">
      <c r="A923" s="15">
        <v>6</v>
      </c>
      <c r="B923" s="7" t="s">
        <v>82</v>
      </c>
      <c r="C923" s="8" t="str">
        <f>Gia_VLieu!C9</f>
        <v>cái</v>
      </c>
      <c r="D923" s="86">
        <f>Gia_VLieu!D9</f>
        <v>8000</v>
      </c>
      <c r="E923" s="72">
        <v>40</v>
      </c>
      <c r="F923" s="21">
        <f t="shared" si="64"/>
        <v>320000</v>
      </c>
      <c r="H923" s="12">
        <v>919</v>
      </c>
    </row>
    <row r="924" spans="1:8" s="5" customFormat="1">
      <c r="A924" s="15">
        <v>7</v>
      </c>
      <c r="B924" s="7" t="s">
        <v>83</v>
      </c>
      <c r="C924" s="8" t="str">
        <f>Gia_VLieu!C10</f>
        <v>cái</v>
      </c>
      <c r="D924" s="86">
        <f>Gia_VLieu!D10</f>
        <v>10000</v>
      </c>
      <c r="E924" s="72">
        <v>40</v>
      </c>
      <c r="F924" s="21">
        <f t="shared" si="64"/>
        <v>400000</v>
      </c>
      <c r="H924" s="12">
        <v>920</v>
      </c>
    </row>
    <row r="925" spans="1:8" s="5" customFormat="1">
      <c r="A925" s="15">
        <v>8</v>
      </c>
      <c r="B925" s="7" t="s">
        <v>84</v>
      </c>
      <c r="C925" s="8" t="str">
        <f>Gia_VLieu!C11</f>
        <v>hộp</v>
      </c>
      <c r="D925" s="86">
        <f>Gia_VLieu!D11</f>
        <v>2500</v>
      </c>
      <c r="E925" s="72">
        <v>35</v>
      </c>
      <c r="F925" s="21">
        <f t="shared" si="64"/>
        <v>87500</v>
      </c>
      <c r="H925" s="12">
        <v>921</v>
      </c>
    </row>
    <row r="926" spans="1:8" s="5" customFormat="1">
      <c r="A926" s="15">
        <v>9</v>
      </c>
      <c r="B926" s="7" t="s">
        <v>85</v>
      </c>
      <c r="C926" s="8" t="str">
        <f>Gia_VLieu!C12</f>
        <v>hộp</v>
      </c>
      <c r="D926" s="86">
        <f>Gia_VLieu!D12</f>
        <v>2000</v>
      </c>
      <c r="E926" s="72">
        <v>21</v>
      </c>
      <c r="F926" s="21">
        <f t="shared" si="64"/>
        <v>42000</v>
      </c>
      <c r="H926" s="12">
        <v>922</v>
      </c>
    </row>
    <row r="927" spans="1:8" s="5" customFormat="1">
      <c r="A927" s="15">
        <v>10</v>
      </c>
      <c r="B927" s="7" t="s">
        <v>86</v>
      </c>
      <c r="C927" s="8" t="str">
        <f>Gia_VLieu!C13</f>
        <v>tập</v>
      </c>
      <c r="D927" s="86">
        <f>Gia_VLieu!D13</f>
        <v>8000</v>
      </c>
      <c r="E927" s="72">
        <v>25</v>
      </c>
      <c r="F927" s="21">
        <f t="shared" si="64"/>
        <v>200000</v>
      </c>
      <c r="H927" s="12">
        <v>923</v>
      </c>
    </row>
    <row r="928" spans="1:8" s="5" customFormat="1">
      <c r="A928" s="57">
        <v>11</v>
      </c>
      <c r="B928" s="58" t="s">
        <v>87</v>
      </c>
      <c r="C928" s="59" t="str">
        <f>Gia_VLieu!C14</f>
        <v>cái</v>
      </c>
      <c r="D928" s="87">
        <f>Gia_VLieu!D14</f>
        <v>15000</v>
      </c>
      <c r="E928" s="73">
        <v>32</v>
      </c>
      <c r="F928" s="55">
        <f>D928*E928</f>
        <v>480000</v>
      </c>
      <c r="H928" s="12">
        <v>924</v>
      </c>
    </row>
    <row r="929" spans="1:8" s="16" customFormat="1">
      <c r="A929" s="14" t="e">
        <f>#REF!</f>
        <v>#REF!</v>
      </c>
      <c r="B929" s="10" t="e">
        <f>#REF!</f>
        <v>#REF!</v>
      </c>
      <c r="C929" s="9"/>
      <c r="D929" s="92"/>
      <c r="E929" s="66"/>
      <c r="F929" s="22"/>
      <c r="H929" s="12">
        <v>925</v>
      </c>
    </row>
    <row r="930" spans="1:8" s="46" customFormat="1">
      <c r="A930" s="44" t="e">
        <f>#REF!</f>
        <v>#REF!</v>
      </c>
      <c r="B930" s="45" t="e">
        <f>#REF!</f>
        <v>#REF!</v>
      </c>
      <c r="C930" s="20"/>
      <c r="D930" s="90"/>
      <c r="E930" s="63"/>
      <c r="F930" s="23"/>
      <c r="H930" s="12">
        <v>926</v>
      </c>
    </row>
    <row r="931" spans="1:8" s="46" customFormat="1">
      <c r="A931" s="44" t="e">
        <f>#REF!</f>
        <v>#REF!</v>
      </c>
      <c r="B931" s="45" t="e">
        <f>#REF!</f>
        <v>#REF!</v>
      </c>
      <c r="C931" s="20"/>
      <c r="D931" s="90"/>
      <c r="E931" s="63"/>
      <c r="F931" s="23"/>
      <c r="H931" s="12">
        <v>927</v>
      </c>
    </row>
    <row r="932" spans="1:8" s="16" customFormat="1">
      <c r="A932" s="14" t="e">
        <f>#REF!</f>
        <v>#REF!</v>
      </c>
      <c r="B932" s="10" t="e">
        <f>#REF!</f>
        <v>#REF!</v>
      </c>
      <c r="C932" s="9"/>
      <c r="D932" s="92"/>
      <c r="E932" s="66"/>
      <c r="F932" s="22"/>
      <c r="H932" s="12">
        <v>928</v>
      </c>
    </row>
    <row r="933" spans="1:8" s="46" customFormat="1">
      <c r="A933" s="44" t="e">
        <f>#REF!</f>
        <v>#REF!</v>
      </c>
      <c r="B933" s="45" t="e">
        <f>#REF!</f>
        <v>#REF!</v>
      </c>
      <c r="C933" s="20"/>
      <c r="D933" s="90"/>
      <c r="E933" s="63"/>
      <c r="F933" s="23">
        <f>F936</f>
        <v>1173200</v>
      </c>
      <c r="H933" s="12">
        <v>929</v>
      </c>
    </row>
    <row r="934" spans="1:8" s="5" customFormat="1">
      <c r="A934" s="15" t="e">
        <f>#REF!</f>
        <v>#REF!</v>
      </c>
      <c r="B934" s="7" t="e">
        <f>#REF!</f>
        <v>#REF!</v>
      </c>
      <c r="C934" s="8"/>
      <c r="D934" s="86"/>
      <c r="E934" s="43"/>
      <c r="F934" s="21">
        <f>F936</f>
        <v>1173200</v>
      </c>
      <c r="H934" s="12">
        <v>930</v>
      </c>
    </row>
    <row r="935" spans="1:8" s="5" customFormat="1">
      <c r="A935" s="15" t="e">
        <f>#REF!</f>
        <v>#REF!</v>
      </c>
      <c r="B935" s="7" t="e">
        <f>#REF!</f>
        <v>#REF!</v>
      </c>
      <c r="C935" s="8"/>
      <c r="D935" s="86"/>
      <c r="E935" s="43"/>
      <c r="F935" s="21">
        <f>F936</f>
        <v>1173200</v>
      </c>
      <c r="H935" s="12">
        <v>931</v>
      </c>
    </row>
    <row r="936" spans="1:8" s="5" customFormat="1">
      <c r="A936" s="15" t="e">
        <f>#REF!</f>
        <v>#REF!</v>
      </c>
      <c r="B936" s="7" t="e">
        <f>#REF!</f>
        <v>#REF!</v>
      </c>
      <c r="C936" s="8"/>
      <c r="D936" s="151">
        <f>Gia_VLieu!D$16</f>
        <v>1</v>
      </c>
      <c r="E936" s="63"/>
      <c r="F936" s="23">
        <f>SUM(F937:F947)*D936</f>
        <v>1173200</v>
      </c>
      <c r="H936" s="12">
        <v>932</v>
      </c>
    </row>
    <row r="937" spans="1:8" s="5" customFormat="1">
      <c r="A937" s="15">
        <v>1</v>
      </c>
      <c r="B937" s="7" t="s">
        <v>77</v>
      </c>
      <c r="C937" s="8" t="str">
        <f>Gia_VLieu!C4</f>
        <v>gram</v>
      </c>
      <c r="D937" s="86">
        <f>Gia_VLieu!D4</f>
        <v>45000</v>
      </c>
      <c r="E937" s="72">
        <v>5</v>
      </c>
      <c r="F937" s="21">
        <f>D937*E937</f>
        <v>225000</v>
      </c>
      <c r="H937" s="12">
        <v>933</v>
      </c>
    </row>
    <row r="938" spans="1:8" s="5" customFormat="1">
      <c r="A938" s="15">
        <v>2</v>
      </c>
      <c r="B938" s="7" t="s">
        <v>78</v>
      </c>
      <c r="C938" s="8" t="str">
        <f>Gia_VLieu!C5</f>
        <v>hộp</v>
      </c>
      <c r="D938" s="86">
        <f>Gia_VLieu!D5</f>
        <v>1450000</v>
      </c>
      <c r="E938" s="72">
        <v>0.02</v>
      </c>
      <c r="F938" s="21">
        <f t="shared" ref="F938:F946" si="65">D938*E938</f>
        <v>29000</v>
      </c>
      <c r="H938" s="12">
        <v>934</v>
      </c>
    </row>
    <row r="939" spans="1:8" s="5" customFormat="1">
      <c r="A939" s="15">
        <v>3</v>
      </c>
      <c r="B939" s="7" t="s">
        <v>79</v>
      </c>
      <c r="C939" s="8" t="str">
        <f>Gia_VLieu!C6</f>
        <v>hộp</v>
      </c>
      <c r="D939" s="86">
        <f>Gia_VLieu!D6</f>
        <v>250000</v>
      </c>
      <c r="E939" s="72">
        <v>0.01</v>
      </c>
      <c r="F939" s="21">
        <f t="shared" si="65"/>
        <v>2500</v>
      </c>
      <c r="H939" s="12">
        <v>935</v>
      </c>
    </row>
    <row r="940" spans="1:8" s="5" customFormat="1">
      <c r="A940" s="15">
        <v>4</v>
      </c>
      <c r="B940" s="7" t="s">
        <v>80</v>
      </c>
      <c r="C940" s="8" t="str">
        <f>Gia_VLieu!C7</f>
        <v>quyển</v>
      </c>
      <c r="D940" s="86">
        <f>Gia_VLieu!D7</f>
        <v>10000</v>
      </c>
      <c r="E940" s="72">
        <v>5</v>
      </c>
      <c r="F940" s="21">
        <f t="shared" si="65"/>
        <v>50000</v>
      </c>
      <c r="H940" s="12">
        <v>936</v>
      </c>
    </row>
    <row r="941" spans="1:8" s="5" customFormat="1">
      <c r="A941" s="15">
        <v>5</v>
      </c>
      <c r="B941" s="7" t="s">
        <v>21</v>
      </c>
      <c r="C941" s="8" t="str">
        <f>Gia_VLieu!C8</f>
        <v>cái</v>
      </c>
      <c r="D941" s="86">
        <f>Gia_VLieu!D8</f>
        <v>2000</v>
      </c>
      <c r="E941" s="72">
        <v>11</v>
      </c>
      <c r="F941" s="21">
        <f t="shared" si="65"/>
        <v>22000</v>
      </c>
      <c r="H941" s="12">
        <v>937</v>
      </c>
    </row>
    <row r="942" spans="1:8" s="5" customFormat="1">
      <c r="A942" s="15">
        <v>6</v>
      </c>
      <c r="B942" s="7" t="s">
        <v>82</v>
      </c>
      <c r="C942" s="8" t="str">
        <f>Gia_VLieu!C9</f>
        <v>cái</v>
      </c>
      <c r="D942" s="86">
        <f>Gia_VLieu!D9</f>
        <v>8000</v>
      </c>
      <c r="E942" s="72">
        <v>40</v>
      </c>
      <c r="F942" s="21">
        <f t="shared" si="65"/>
        <v>320000</v>
      </c>
      <c r="H942" s="12">
        <v>938</v>
      </c>
    </row>
    <row r="943" spans="1:8" s="5" customFormat="1">
      <c r="A943" s="15">
        <v>7</v>
      </c>
      <c r="B943" s="7" t="s">
        <v>83</v>
      </c>
      <c r="C943" s="8" t="str">
        <f>Gia_VLieu!C10</f>
        <v>cái</v>
      </c>
      <c r="D943" s="86">
        <f>Gia_VLieu!D10</f>
        <v>10000</v>
      </c>
      <c r="E943" s="72">
        <v>40</v>
      </c>
      <c r="F943" s="21">
        <f t="shared" si="65"/>
        <v>400000</v>
      </c>
      <c r="H943" s="12">
        <v>939</v>
      </c>
    </row>
    <row r="944" spans="1:8" s="5" customFormat="1">
      <c r="A944" s="15">
        <v>8</v>
      </c>
      <c r="B944" s="7" t="s">
        <v>84</v>
      </c>
      <c r="C944" s="8" t="str">
        <f>Gia_VLieu!C11</f>
        <v>hộp</v>
      </c>
      <c r="D944" s="86">
        <f>Gia_VLieu!D11</f>
        <v>2500</v>
      </c>
      <c r="E944" s="72">
        <v>8</v>
      </c>
      <c r="F944" s="21">
        <f t="shared" si="65"/>
        <v>20000</v>
      </c>
      <c r="H944" s="12">
        <v>940</v>
      </c>
    </row>
    <row r="945" spans="1:8" s="5" customFormat="1">
      <c r="A945" s="15">
        <v>9</v>
      </c>
      <c r="B945" s="7" t="s">
        <v>85</v>
      </c>
      <c r="C945" s="8" t="str">
        <f>Gia_VLieu!C12</f>
        <v>hộp</v>
      </c>
      <c r="D945" s="86">
        <f>Gia_VLieu!D12</f>
        <v>2000</v>
      </c>
      <c r="E945" s="72">
        <v>4</v>
      </c>
      <c r="F945" s="21">
        <f t="shared" si="65"/>
        <v>8000</v>
      </c>
      <c r="H945" s="12">
        <v>941</v>
      </c>
    </row>
    <row r="946" spans="1:8" s="5" customFormat="1">
      <c r="A946" s="15">
        <v>10</v>
      </c>
      <c r="B946" s="7" t="s">
        <v>86</v>
      </c>
      <c r="C946" s="8" t="str">
        <f>Gia_VLieu!C13</f>
        <v>tập</v>
      </c>
      <c r="D946" s="86">
        <f>Gia_VLieu!D13</f>
        <v>8000</v>
      </c>
      <c r="E946" s="72">
        <v>5</v>
      </c>
      <c r="F946" s="21">
        <f t="shared" si="65"/>
        <v>40000</v>
      </c>
      <c r="H946" s="12">
        <v>942</v>
      </c>
    </row>
    <row r="947" spans="1:8" s="5" customFormat="1">
      <c r="A947" s="57">
        <v>11</v>
      </c>
      <c r="B947" s="58" t="s">
        <v>87</v>
      </c>
      <c r="C947" s="59" t="str">
        <f>Gia_VLieu!C14</f>
        <v>cái</v>
      </c>
      <c r="D947" s="87">
        <f>Gia_VLieu!D14</f>
        <v>15000</v>
      </c>
      <c r="E947" s="73">
        <v>3.78</v>
      </c>
      <c r="F947" s="55">
        <f>D947*E947</f>
        <v>56700</v>
      </c>
      <c r="H947" s="12">
        <v>943</v>
      </c>
    </row>
    <row r="948" spans="1:8" s="46" customFormat="1">
      <c r="A948" s="44" t="e">
        <f>#REF!</f>
        <v>#REF!</v>
      </c>
      <c r="B948" s="45" t="e">
        <f>#REF!</f>
        <v>#REF!</v>
      </c>
      <c r="C948" s="20"/>
      <c r="D948" s="151">
        <f>Gia_VLieu!D$16</f>
        <v>1</v>
      </c>
      <c r="E948" s="63"/>
      <c r="F948" s="23">
        <f>SUM(F949:F959)*D948</f>
        <v>1187000</v>
      </c>
      <c r="H948" s="12">
        <v>944</v>
      </c>
    </row>
    <row r="949" spans="1:8" s="5" customFormat="1">
      <c r="A949" s="15">
        <v>1</v>
      </c>
      <c r="B949" s="7" t="s">
        <v>77</v>
      </c>
      <c r="C949" s="8" t="str">
        <f>Gia_VLieu!C4</f>
        <v>gram</v>
      </c>
      <c r="D949" s="86">
        <f>Gia_VLieu!D4</f>
        <v>45000</v>
      </c>
      <c r="E949" s="72">
        <v>1</v>
      </c>
      <c r="F949" s="21">
        <f>D949*E949</f>
        <v>45000</v>
      </c>
      <c r="H949" s="12">
        <v>945</v>
      </c>
    </row>
    <row r="950" spans="1:8" s="5" customFormat="1">
      <c r="A950" s="15">
        <v>2</v>
      </c>
      <c r="B950" s="7" t="s">
        <v>78</v>
      </c>
      <c r="C950" s="8" t="str">
        <f>Gia_VLieu!C5</f>
        <v>hộp</v>
      </c>
      <c r="D950" s="86">
        <f>Gia_VLieu!D5</f>
        <v>1450000</v>
      </c>
      <c r="E950" s="72">
        <v>0.01</v>
      </c>
      <c r="F950" s="21">
        <f t="shared" ref="F950:F958" si="66">D950*E950</f>
        <v>14500</v>
      </c>
      <c r="H950" s="12">
        <v>946</v>
      </c>
    </row>
    <row r="951" spans="1:8" s="5" customFormat="1">
      <c r="A951" s="15">
        <v>3</v>
      </c>
      <c r="B951" s="7" t="s">
        <v>79</v>
      </c>
      <c r="C951" s="8" t="str">
        <f>Gia_VLieu!C6</f>
        <v>hộp</v>
      </c>
      <c r="D951" s="86">
        <f>Gia_VLieu!D6</f>
        <v>250000</v>
      </c>
      <c r="E951" s="72">
        <v>0.01</v>
      </c>
      <c r="F951" s="21">
        <f t="shared" si="66"/>
        <v>2500</v>
      </c>
      <c r="H951" s="12">
        <v>947</v>
      </c>
    </row>
    <row r="952" spans="1:8" s="5" customFormat="1">
      <c r="A952" s="15">
        <v>4</v>
      </c>
      <c r="B952" s="7" t="s">
        <v>80</v>
      </c>
      <c r="C952" s="8" t="str">
        <f>Gia_VLieu!C7</f>
        <v>quyển</v>
      </c>
      <c r="D952" s="86">
        <f>Gia_VLieu!D7</f>
        <v>10000</v>
      </c>
      <c r="E952" s="72">
        <v>4</v>
      </c>
      <c r="F952" s="21">
        <f t="shared" si="66"/>
        <v>40000</v>
      </c>
      <c r="H952" s="12">
        <v>948</v>
      </c>
    </row>
    <row r="953" spans="1:8" s="5" customFormat="1">
      <c r="A953" s="15">
        <v>5</v>
      </c>
      <c r="B953" s="7" t="s">
        <v>21</v>
      </c>
      <c r="C953" s="8" t="str">
        <f>Gia_VLieu!C8</f>
        <v>cái</v>
      </c>
      <c r="D953" s="86">
        <f>Gia_VLieu!D8</f>
        <v>2000</v>
      </c>
      <c r="E953" s="72">
        <v>6</v>
      </c>
      <c r="F953" s="21">
        <f t="shared" si="66"/>
        <v>12000</v>
      </c>
      <c r="H953" s="12">
        <v>949</v>
      </c>
    </row>
    <row r="954" spans="1:8" s="5" customFormat="1">
      <c r="A954" s="15">
        <v>6</v>
      </c>
      <c r="B954" s="7" t="s">
        <v>82</v>
      </c>
      <c r="C954" s="8" t="str">
        <f>Gia_VLieu!C9</f>
        <v>cái</v>
      </c>
      <c r="D954" s="86">
        <f>Gia_VLieu!D9</f>
        <v>8000</v>
      </c>
      <c r="E954" s="72">
        <v>40</v>
      </c>
      <c r="F954" s="21">
        <f t="shared" si="66"/>
        <v>320000</v>
      </c>
      <c r="H954" s="12">
        <v>950</v>
      </c>
    </row>
    <row r="955" spans="1:8" s="5" customFormat="1">
      <c r="A955" s="15">
        <v>7</v>
      </c>
      <c r="B955" s="7" t="s">
        <v>83</v>
      </c>
      <c r="C955" s="8" t="str">
        <f>Gia_VLieu!C10</f>
        <v>cái</v>
      </c>
      <c r="D955" s="86">
        <f>Gia_VLieu!D10</f>
        <v>10000</v>
      </c>
      <c r="E955" s="72">
        <v>40</v>
      </c>
      <c r="F955" s="21">
        <f t="shared" si="66"/>
        <v>400000</v>
      </c>
      <c r="H955" s="12">
        <v>951</v>
      </c>
    </row>
    <row r="956" spans="1:8" s="5" customFormat="1">
      <c r="A956" s="15">
        <v>8</v>
      </c>
      <c r="B956" s="7" t="s">
        <v>84</v>
      </c>
      <c r="C956" s="8" t="str">
        <f>Gia_VLieu!C11</f>
        <v>hộp</v>
      </c>
      <c r="D956" s="86">
        <f>Gia_VLieu!D11</f>
        <v>2500</v>
      </c>
      <c r="E956" s="72">
        <v>6</v>
      </c>
      <c r="F956" s="21">
        <f t="shared" si="66"/>
        <v>15000</v>
      </c>
      <c r="H956" s="12">
        <v>952</v>
      </c>
    </row>
    <row r="957" spans="1:8" s="5" customFormat="1">
      <c r="A957" s="15">
        <v>9</v>
      </c>
      <c r="B957" s="7" t="s">
        <v>85</v>
      </c>
      <c r="C957" s="8" t="str">
        <f>Gia_VLieu!C12</f>
        <v>hộp</v>
      </c>
      <c r="D957" s="86">
        <f>Gia_VLieu!D12</f>
        <v>2000</v>
      </c>
      <c r="E957" s="72">
        <v>3</v>
      </c>
      <c r="F957" s="21">
        <f t="shared" si="66"/>
        <v>6000</v>
      </c>
      <c r="H957" s="12">
        <v>953</v>
      </c>
    </row>
    <row r="958" spans="1:8" s="5" customFormat="1">
      <c r="A958" s="15">
        <v>10</v>
      </c>
      <c r="B958" s="7" t="s">
        <v>86</v>
      </c>
      <c r="C958" s="8" t="str">
        <f>Gia_VLieu!C13</f>
        <v>tập</v>
      </c>
      <c r="D958" s="86">
        <f>Gia_VLieu!D13</f>
        <v>8000</v>
      </c>
      <c r="E958" s="72">
        <v>4</v>
      </c>
      <c r="F958" s="21">
        <f t="shared" si="66"/>
        <v>32000</v>
      </c>
      <c r="H958" s="12">
        <v>954</v>
      </c>
    </row>
    <row r="959" spans="1:8" s="5" customFormat="1">
      <c r="A959" s="57">
        <v>11</v>
      </c>
      <c r="B959" s="58" t="s">
        <v>87</v>
      </c>
      <c r="C959" s="59" t="str">
        <f>Gia_VLieu!C14</f>
        <v>cái</v>
      </c>
      <c r="D959" s="87">
        <f>Gia_VLieu!D14</f>
        <v>15000</v>
      </c>
      <c r="E959" s="73">
        <v>20</v>
      </c>
      <c r="F959" s="55">
        <f>D959*E959</f>
        <v>300000</v>
      </c>
      <c r="H959" s="12">
        <v>955</v>
      </c>
    </row>
    <row r="960" spans="1:8" s="46" customFormat="1">
      <c r="A960" s="44" t="e">
        <f>#REF!</f>
        <v>#REF!</v>
      </c>
      <c r="B960" s="45" t="e">
        <f>#REF!</f>
        <v>#REF!</v>
      </c>
      <c r="C960" s="20"/>
      <c r="D960" s="90"/>
      <c r="E960" s="63"/>
      <c r="F960" s="23"/>
      <c r="H960" s="12">
        <v>956</v>
      </c>
    </row>
    <row r="961" spans="1:8" s="5" customFormat="1">
      <c r="A961" s="15" t="e">
        <f>#REF!</f>
        <v>#REF!</v>
      </c>
      <c r="B961" s="7" t="e">
        <f>#REF!</f>
        <v>#REF!</v>
      </c>
      <c r="C961" s="8"/>
      <c r="D961" s="151">
        <f>Gia_VLieu!D$16</f>
        <v>1</v>
      </c>
      <c r="E961" s="63"/>
      <c r="F961" s="23">
        <f>SUM(F962:F972)*D961</f>
        <v>602000</v>
      </c>
      <c r="H961" s="12">
        <v>957</v>
      </c>
    </row>
    <row r="962" spans="1:8" s="5" customFormat="1">
      <c r="A962" s="15">
        <v>1</v>
      </c>
      <c r="B962" s="7" t="s">
        <v>77</v>
      </c>
      <c r="C962" s="8" t="str">
        <f>Gia_VLieu!C4</f>
        <v>gram</v>
      </c>
      <c r="D962" s="86">
        <f>Gia_VLieu!D4</f>
        <v>45000</v>
      </c>
      <c r="E962" s="72">
        <v>0.5</v>
      </c>
      <c r="F962" s="21">
        <f>D962*E962</f>
        <v>22500</v>
      </c>
      <c r="H962" s="12">
        <v>958</v>
      </c>
    </row>
    <row r="963" spans="1:8" s="5" customFormat="1">
      <c r="A963" s="15">
        <v>2</v>
      </c>
      <c r="B963" s="7" t="s">
        <v>78</v>
      </c>
      <c r="C963" s="8" t="str">
        <f>Gia_VLieu!C5</f>
        <v>hộp</v>
      </c>
      <c r="D963" s="86">
        <f>Gia_VLieu!D5</f>
        <v>1450000</v>
      </c>
      <c r="E963" s="72">
        <v>0.01</v>
      </c>
      <c r="F963" s="21">
        <f t="shared" ref="F963:F971" si="67">D963*E963</f>
        <v>14500</v>
      </c>
      <c r="H963" s="12">
        <v>959</v>
      </c>
    </row>
    <row r="964" spans="1:8" s="5" customFormat="1">
      <c r="A964" s="15">
        <v>3</v>
      </c>
      <c r="B964" s="7" t="s">
        <v>79</v>
      </c>
      <c r="C964" s="8" t="str">
        <f>Gia_VLieu!C6</f>
        <v>hộp</v>
      </c>
      <c r="D964" s="86">
        <f>Gia_VLieu!D6</f>
        <v>250000</v>
      </c>
      <c r="E964" s="72">
        <v>0.01</v>
      </c>
      <c r="F964" s="21">
        <f t="shared" si="67"/>
        <v>2500</v>
      </c>
      <c r="H964" s="12">
        <v>960</v>
      </c>
    </row>
    <row r="965" spans="1:8" s="5" customFormat="1">
      <c r="A965" s="15">
        <v>4</v>
      </c>
      <c r="B965" s="7" t="s">
        <v>80</v>
      </c>
      <c r="C965" s="8" t="str">
        <f>Gia_VLieu!C7</f>
        <v>quyển</v>
      </c>
      <c r="D965" s="86">
        <f>Gia_VLieu!D7</f>
        <v>10000</v>
      </c>
      <c r="E965" s="72">
        <v>2</v>
      </c>
      <c r="F965" s="21">
        <f t="shared" si="67"/>
        <v>20000</v>
      </c>
      <c r="H965" s="12">
        <v>961</v>
      </c>
    </row>
    <row r="966" spans="1:8" s="5" customFormat="1">
      <c r="A966" s="15">
        <v>5</v>
      </c>
      <c r="B966" s="7" t="s">
        <v>21</v>
      </c>
      <c r="C966" s="8" t="str">
        <f>Gia_VLieu!C8</f>
        <v>cái</v>
      </c>
      <c r="D966" s="86">
        <f>Gia_VLieu!D8</f>
        <v>2000</v>
      </c>
      <c r="E966" s="72">
        <v>3</v>
      </c>
      <c r="F966" s="21">
        <f t="shared" si="67"/>
        <v>6000</v>
      </c>
      <c r="H966" s="12">
        <v>962</v>
      </c>
    </row>
    <row r="967" spans="1:8" s="5" customFormat="1">
      <c r="A967" s="15">
        <v>6</v>
      </c>
      <c r="B967" s="7" t="s">
        <v>82</v>
      </c>
      <c r="C967" s="8" t="str">
        <f>Gia_VLieu!C9</f>
        <v>cái</v>
      </c>
      <c r="D967" s="86">
        <f>Gia_VLieu!D9</f>
        <v>8000</v>
      </c>
      <c r="E967" s="72">
        <v>20</v>
      </c>
      <c r="F967" s="21">
        <f t="shared" si="67"/>
        <v>160000</v>
      </c>
      <c r="H967" s="12">
        <v>963</v>
      </c>
    </row>
    <row r="968" spans="1:8" s="5" customFormat="1">
      <c r="A968" s="15">
        <v>7</v>
      </c>
      <c r="B968" s="7" t="s">
        <v>83</v>
      </c>
      <c r="C968" s="8" t="str">
        <f>Gia_VLieu!C10</f>
        <v>cái</v>
      </c>
      <c r="D968" s="86">
        <f>Gia_VLieu!D10</f>
        <v>10000</v>
      </c>
      <c r="E968" s="72">
        <v>20</v>
      </c>
      <c r="F968" s="21">
        <f t="shared" si="67"/>
        <v>200000</v>
      </c>
      <c r="H968" s="12">
        <v>964</v>
      </c>
    </row>
    <row r="969" spans="1:8" s="5" customFormat="1">
      <c r="A969" s="15">
        <v>8</v>
      </c>
      <c r="B969" s="7" t="s">
        <v>84</v>
      </c>
      <c r="C969" s="8" t="str">
        <f>Gia_VLieu!C11</f>
        <v>hộp</v>
      </c>
      <c r="D969" s="86">
        <f>Gia_VLieu!D11</f>
        <v>2500</v>
      </c>
      <c r="E969" s="72">
        <v>3</v>
      </c>
      <c r="F969" s="21">
        <f t="shared" si="67"/>
        <v>7500</v>
      </c>
      <c r="H969" s="12">
        <v>965</v>
      </c>
    </row>
    <row r="970" spans="1:8" s="5" customFormat="1">
      <c r="A970" s="15">
        <v>9</v>
      </c>
      <c r="B970" s="7" t="s">
        <v>85</v>
      </c>
      <c r="C970" s="8" t="str">
        <f>Gia_VLieu!C12</f>
        <v>hộp</v>
      </c>
      <c r="D970" s="86">
        <f>Gia_VLieu!D12</f>
        <v>2000</v>
      </c>
      <c r="E970" s="72">
        <v>1.5</v>
      </c>
      <c r="F970" s="21">
        <f t="shared" si="67"/>
        <v>3000</v>
      </c>
      <c r="H970" s="12">
        <v>966</v>
      </c>
    </row>
    <row r="971" spans="1:8" s="5" customFormat="1">
      <c r="A971" s="15">
        <v>10</v>
      </c>
      <c r="B971" s="7" t="s">
        <v>86</v>
      </c>
      <c r="C971" s="8" t="str">
        <f>Gia_VLieu!C13</f>
        <v>tập</v>
      </c>
      <c r="D971" s="86">
        <f>Gia_VLieu!D13</f>
        <v>8000</v>
      </c>
      <c r="E971" s="72">
        <v>2</v>
      </c>
      <c r="F971" s="21">
        <f t="shared" si="67"/>
        <v>16000</v>
      </c>
      <c r="H971" s="12">
        <v>967</v>
      </c>
    </row>
    <row r="972" spans="1:8" s="5" customFormat="1">
      <c r="A972" s="57">
        <v>11</v>
      </c>
      <c r="B972" s="58" t="s">
        <v>87</v>
      </c>
      <c r="C972" s="59" t="str">
        <f>Gia_VLieu!C14</f>
        <v>cái</v>
      </c>
      <c r="D972" s="87">
        <f>Gia_VLieu!D14</f>
        <v>15000</v>
      </c>
      <c r="E972" s="73">
        <v>10</v>
      </c>
      <c r="F972" s="55">
        <f>D972*E972</f>
        <v>150000</v>
      </c>
      <c r="H972" s="12">
        <v>968</v>
      </c>
    </row>
    <row r="973" spans="1:8" s="5" customFormat="1">
      <c r="A973" s="15" t="e">
        <f>#REF!</f>
        <v>#REF!</v>
      </c>
      <c r="B973" s="7" t="e">
        <f>#REF!</f>
        <v>#REF!</v>
      </c>
      <c r="C973" s="8"/>
      <c r="D973" s="151">
        <f>Gia_VLieu!D$16</f>
        <v>1</v>
      </c>
      <c r="E973" s="63"/>
      <c r="F973" s="23">
        <f>SUM(F974:F984)*D973</f>
        <v>580000</v>
      </c>
      <c r="H973" s="12">
        <v>969</v>
      </c>
    </row>
    <row r="974" spans="1:8" s="5" customFormat="1">
      <c r="A974" s="15">
        <v>1</v>
      </c>
      <c r="B974" s="7" t="s">
        <v>77</v>
      </c>
      <c r="C974" s="8" t="str">
        <f>Gia_VLieu!C4</f>
        <v>gram</v>
      </c>
      <c r="D974" s="86">
        <f>Gia_VLieu!D4</f>
        <v>45000</v>
      </c>
      <c r="E974" s="72">
        <v>2</v>
      </c>
      <c r="F974" s="21">
        <f>D974*E974</f>
        <v>90000</v>
      </c>
      <c r="H974" s="12">
        <v>970</v>
      </c>
    </row>
    <row r="975" spans="1:8" s="5" customFormat="1">
      <c r="A975" s="15">
        <v>2</v>
      </c>
      <c r="B975" s="7" t="s">
        <v>78</v>
      </c>
      <c r="C975" s="8" t="str">
        <f>Gia_VLieu!C5</f>
        <v>hộp</v>
      </c>
      <c r="D975" s="86">
        <f>Gia_VLieu!D5</f>
        <v>1450000</v>
      </c>
      <c r="E975" s="72">
        <v>0.02</v>
      </c>
      <c r="F975" s="21">
        <f t="shared" ref="F975:F983" si="68">D975*E975</f>
        <v>29000</v>
      </c>
      <c r="H975" s="12">
        <v>971</v>
      </c>
    </row>
    <row r="976" spans="1:8" s="5" customFormat="1">
      <c r="A976" s="15">
        <v>3</v>
      </c>
      <c r="B976" s="7" t="s">
        <v>79</v>
      </c>
      <c r="C976" s="8" t="str">
        <f>Gia_VLieu!C6</f>
        <v>hộp</v>
      </c>
      <c r="D976" s="86">
        <f>Gia_VLieu!D6</f>
        <v>250000</v>
      </c>
      <c r="E976" s="72">
        <v>0.02</v>
      </c>
      <c r="F976" s="21">
        <f t="shared" si="68"/>
        <v>5000</v>
      </c>
      <c r="H976" s="12">
        <v>972</v>
      </c>
    </row>
    <row r="977" spans="1:8" s="5" customFormat="1">
      <c r="A977" s="15">
        <v>4</v>
      </c>
      <c r="B977" s="7" t="s">
        <v>80</v>
      </c>
      <c r="C977" s="8" t="str">
        <f>Gia_VLieu!C7</f>
        <v>quyển</v>
      </c>
      <c r="D977" s="86">
        <f>Gia_VLieu!D7</f>
        <v>10000</v>
      </c>
      <c r="E977" s="72">
        <v>5</v>
      </c>
      <c r="F977" s="21">
        <f t="shared" si="68"/>
        <v>50000</v>
      </c>
      <c r="H977" s="12">
        <v>973</v>
      </c>
    </row>
    <row r="978" spans="1:8" s="5" customFormat="1">
      <c r="A978" s="15">
        <v>5</v>
      </c>
      <c r="B978" s="7" t="s">
        <v>21</v>
      </c>
      <c r="C978" s="8" t="str">
        <f>Gia_VLieu!C8</f>
        <v>cái</v>
      </c>
      <c r="D978" s="86">
        <f>Gia_VLieu!D8</f>
        <v>2000</v>
      </c>
      <c r="E978" s="72">
        <v>6</v>
      </c>
      <c r="F978" s="21">
        <f t="shared" si="68"/>
        <v>12000</v>
      </c>
      <c r="H978" s="12">
        <v>974</v>
      </c>
    </row>
    <row r="979" spans="1:8" s="5" customFormat="1">
      <c r="A979" s="15">
        <v>6</v>
      </c>
      <c r="B979" s="7" t="s">
        <v>82</v>
      </c>
      <c r="C979" s="8" t="str">
        <f>Gia_VLieu!C9</f>
        <v>cái</v>
      </c>
      <c r="D979" s="86">
        <f>Gia_VLieu!D9</f>
        <v>8000</v>
      </c>
      <c r="E979" s="72">
        <v>12</v>
      </c>
      <c r="F979" s="21">
        <f t="shared" si="68"/>
        <v>96000</v>
      </c>
      <c r="H979" s="12">
        <v>975</v>
      </c>
    </row>
    <row r="980" spans="1:8" s="5" customFormat="1">
      <c r="A980" s="15">
        <v>7</v>
      </c>
      <c r="B980" s="7" t="s">
        <v>83</v>
      </c>
      <c r="C980" s="8" t="str">
        <f>Gia_VLieu!C10</f>
        <v>cái</v>
      </c>
      <c r="D980" s="86">
        <f>Gia_VLieu!D10</f>
        <v>10000</v>
      </c>
      <c r="E980" s="72">
        <v>14</v>
      </c>
      <c r="F980" s="21">
        <f t="shared" si="68"/>
        <v>140000</v>
      </c>
      <c r="H980" s="12">
        <v>976</v>
      </c>
    </row>
    <row r="981" spans="1:8" s="5" customFormat="1">
      <c r="A981" s="15">
        <v>8</v>
      </c>
      <c r="B981" s="7" t="s">
        <v>84</v>
      </c>
      <c r="C981" s="8" t="str">
        <f>Gia_VLieu!C11</f>
        <v>hộp</v>
      </c>
      <c r="D981" s="86">
        <f>Gia_VLieu!D11</f>
        <v>2500</v>
      </c>
      <c r="E981" s="72">
        <v>4</v>
      </c>
      <c r="F981" s="21">
        <f t="shared" si="68"/>
        <v>10000</v>
      </c>
      <c r="H981" s="12">
        <v>977</v>
      </c>
    </row>
    <row r="982" spans="1:8" s="5" customFormat="1">
      <c r="A982" s="15">
        <v>9</v>
      </c>
      <c r="B982" s="7" t="s">
        <v>85</v>
      </c>
      <c r="C982" s="8" t="str">
        <f>Gia_VLieu!C12</f>
        <v>hộp</v>
      </c>
      <c r="D982" s="86">
        <f>Gia_VLieu!D12</f>
        <v>2000</v>
      </c>
      <c r="E982" s="72">
        <v>2</v>
      </c>
      <c r="F982" s="21">
        <f t="shared" si="68"/>
        <v>4000</v>
      </c>
      <c r="H982" s="12">
        <v>978</v>
      </c>
    </row>
    <row r="983" spans="1:8" s="5" customFormat="1">
      <c r="A983" s="15">
        <v>10</v>
      </c>
      <c r="B983" s="7" t="s">
        <v>86</v>
      </c>
      <c r="C983" s="8" t="str">
        <f>Gia_VLieu!C13</f>
        <v>tập</v>
      </c>
      <c r="D983" s="86">
        <f>Gia_VLieu!D13</f>
        <v>8000</v>
      </c>
      <c r="E983" s="72">
        <v>3</v>
      </c>
      <c r="F983" s="21">
        <f t="shared" si="68"/>
        <v>24000</v>
      </c>
      <c r="H983" s="12">
        <v>979</v>
      </c>
    </row>
    <row r="984" spans="1:8" s="5" customFormat="1">
      <c r="A984" s="57">
        <v>11</v>
      </c>
      <c r="B984" s="58" t="s">
        <v>87</v>
      </c>
      <c r="C984" s="59" t="str">
        <f>Gia_VLieu!C14</f>
        <v>cái</v>
      </c>
      <c r="D984" s="87">
        <f>Gia_VLieu!D14</f>
        <v>15000</v>
      </c>
      <c r="E984" s="73">
        <v>8</v>
      </c>
      <c r="F984" s="55">
        <f>D984*E984</f>
        <v>120000</v>
      </c>
      <c r="H984" s="12">
        <v>980</v>
      </c>
    </row>
    <row r="985" spans="1:8" s="46" customFormat="1">
      <c r="A985" s="44" t="e">
        <f>#REF!</f>
        <v>#REF!</v>
      </c>
      <c r="B985" s="45" t="e">
        <f>#REF!</f>
        <v>#REF!</v>
      </c>
      <c r="C985" s="20"/>
      <c r="D985" s="90"/>
      <c r="E985" s="63"/>
      <c r="F985" s="23"/>
      <c r="H985" s="12">
        <v>981</v>
      </c>
    </row>
    <row r="986" spans="1:8" s="5" customFormat="1">
      <c r="A986" s="15" t="e">
        <f>#REF!</f>
        <v>#REF!</v>
      </c>
      <c r="B986" s="7" t="e">
        <f>#REF!</f>
        <v>#REF!</v>
      </c>
      <c r="C986" s="8"/>
      <c r="D986" s="86"/>
      <c r="E986" s="43"/>
      <c r="F986" s="21"/>
      <c r="H986" s="12">
        <v>982</v>
      </c>
    </row>
    <row r="987" spans="1:8" s="11" customFormat="1">
      <c r="A987" s="29" t="e">
        <f>#REF!</f>
        <v>#REF!</v>
      </c>
      <c r="B987" s="135" t="e">
        <f>#REF!</f>
        <v>#REF!</v>
      </c>
      <c r="C987" s="136"/>
      <c r="D987" s="136"/>
      <c r="E987" s="136"/>
      <c r="F987" s="137"/>
      <c r="H987" s="12">
        <v>983</v>
      </c>
    </row>
    <row r="988" spans="1:8" s="46" customFormat="1">
      <c r="A988" s="44" t="e">
        <f>#REF!</f>
        <v>#REF!</v>
      </c>
      <c r="B988" s="45" t="e">
        <f>#REF!</f>
        <v>#REF!</v>
      </c>
      <c r="C988" s="20"/>
      <c r="D988" s="151">
        <f>Gia_VLieu!D$16</f>
        <v>1</v>
      </c>
      <c r="E988" s="63"/>
      <c r="F988" s="23">
        <f>SUM(F989:F999)*D988</f>
        <v>1379000</v>
      </c>
      <c r="H988" s="12">
        <v>984</v>
      </c>
    </row>
    <row r="989" spans="1:8" s="5" customFormat="1">
      <c r="A989" s="15">
        <v>1</v>
      </c>
      <c r="B989" s="7" t="s">
        <v>77</v>
      </c>
      <c r="C989" s="8" t="str">
        <f>Gia_VLieu!C4</f>
        <v>gram</v>
      </c>
      <c r="D989" s="86">
        <f>Gia_VLieu!D4</f>
        <v>45000</v>
      </c>
      <c r="E989" s="72">
        <v>4</v>
      </c>
      <c r="F989" s="21">
        <f>D989*E989</f>
        <v>180000</v>
      </c>
      <c r="H989" s="12">
        <v>985</v>
      </c>
    </row>
    <row r="990" spans="1:8" s="5" customFormat="1">
      <c r="A990" s="15">
        <v>2</v>
      </c>
      <c r="B990" s="7" t="s">
        <v>78</v>
      </c>
      <c r="C990" s="8" t="str">
        <f>Gia_VLieu!C5</f>
        <v>hộp</v>
      </c>
      <c r="D990" s="86">
        <f>Gia_VLieu!D5</f>
        <v>1450000</v>
      </c>
      <c r="E990" s="72">
        <v>0.3</v>
      </c>
      <c r="F990" s="21">
        <f t="shared" ref="F990:F998" si="69">D990*E990</f>
        <v>435000</v>
      </c>
      <c r="H990" s="12">
        <v>986</v>
      </c>
    </row>
    <row r="991" spans="1:8" s="5" customFormat="1">
      <c r="A991" s="15">
        <v>3</v>
      </c>
      <c r="B991" s="7" t="s">
        <v>79</v>
      </c>
      <c r="C991" s="8" t="str">
        <f>Gia_VLieu!C6</f>
        <v>hộp</v>
      </c>
      <c r="D991" s="86">
        <f>Gia_VLieu!D6</f>
        <v>250000</v>
      </c>
      <c r="E991" s="72">
        <v>0.2</v>
      </c>
      <c r="F991" s="21">
        <f t="shared" si="69"/>
        <v>50000</v>
      </c>
      <c r="H991" s="12">
        <v>987</v>
      </c>
    </row>
    <row r="992" spans="1:8" s="5" customFormat="1">
      <c r="A992" s="15">
        <v>4</v>
      </c>
      <c r="B992" s="7" t="s">
        <v>80</v>
      </c>
      <c r="C992" s="8" t="str">
        <f>Gia_VLieu!C7</f>
        <v>quyển</v>
      </c>
      <c r="D992" s="86">
        <f>Gia_VLieu!D7</f>
        <v>10000</v>
      </c>
      <c r="E992" s="72">
        <v>12</v>
      </c>
      <c r="F992" s="21">
        <f t="shared" si="69"/>
        <v>120000</v>
      </c>
      <c r="H992" s="12">
        <v>988</v>
      </c>
    </row>
    <row r="993" spans="1:8" s="5" customFormat="1">
      <c r="A993" s="15">
        <v>5</v>
      </c>
      <c r="B993" s="7" t="s">
        <v>21</v>
      </c>
      <c r="C993" s="8" t="str">
        <f>Gia_VLieu!C8</f>
        <v>cái</v>
      </c>
      <c r="D993" s="86">
        <f>Gia_VLieu!D8</f>
        <v>2000</v>
      </c>
      <c r="E993" s="72">
        <v>25</v>
      </c>
      <c r="F993" s="21">
        <f t="shared" si="69"/>
        <v>50000</v>
      </c>
      <c r="H993" s="12">
        <v>989</v>
      </c>
    </row>
    <row r="994" spans="1:8" s="5" customFormat="1">
      <c r="A994" s="15">
        <v>6</v>
      </c>
      <c r="B994" s="7" t="s">
        <v>82</v>
      </c>
      <c r="C994" s="8" t="str">
        <f>Gia_VLieu!C9</f>
        <v>cái</v>
      </c>
      <c r="D994" s="86">
        <f>Gia_VLieu!D9</f>
        <v>8000</v>
      </c>
      <c r="E994" s="72">
        <v>20</v>
      </c>
      <c r="F994" s="21">
        <f t="shared" si="69"/>
        <v>160000</v>
      </c>
      <c r="H994" s="12">
        <v>990</v>
      </c>
    </row>
    <row r="995" spans="1:8" s="5" customFormat="1">
      <c r="A995" s="15">
        <v>7</v>
      </c>
      <c r="B995" s="7" t="s">
        <v>83</v>
      </c>
      <c r="C995" s="8" t="str">
        <f>Gia_VLieu!C10</f>
        <v>cái</v>
      </c>
      <c r="D995" s="86">
        <f>Gia_VLieu!D10</f>
        <v>10000</v>
      </c>
      <c r="E995" s="72">
        <v>20</v>
      </c>
      <c r="F995" s="21">
        <f t="shared" si="69"/>
        <v>200000</v>
      </c>
      <c r="H995" s="12">
        <v>991</v>
      </c>
    </row>
    <row r="996" spans="1:8" s="5" customFormat="1">
      <c r="A996" s="15">
        <v>8</v>
      </c>
      <c r="B996" s="7" t="s">
        <v>84</v>
      </c>
      <c r="C996" s="8" t="str">
        <f>Gia_VLieu!C11</f>
        <v>hộp</v>
      </c>
      <c r="D996" s="86">
        <f>Gia_VLieu!D11</f>
        <v>2500</v>
      </c>
      <c r="E996" s="72">
        <v>8</v>
      </c>
      <c r="F996" s="21">
        <f t="shared" si="69"/>
        <v>20000</v>
      </c>
      <c r="H996" s="12">
        <v>992</v>
      </c>
    </row>
    <row r="997" spans="1:8" s="5" customFormat="1">
      <c r="A997" s="15">
        <v>9</v>
      </c>
      <c r="B997" s="7" t="s">
        <v>85</v>
      </c>
      <c r="C997" s="8" t="str">
        <f>Gia_VLieu!C12</f>
        <v>hộp</v>
      </c>
      <c r="D997" s="86">
        <f>Gia_VLieu!D12</f>
        <v>2000</v>
      </c>
      <c r="E997" s="72">
        <v>2</v>
      </c>
      <c r="F997" s="21">
        <f t="shared" si="69"/>
        <v>4000</v>
      </c>
      <c r="H997" s="12">
        <v>993</v>
      </c>
    </row>
    <row r="998" spans="1:8" s="5" customFormat="1">
      <c r="A998" s="15">
        <v>10</v>
      </c>
      <c r="B998" s="7" t="s">
        <v>86</v>
      </c>
      <c r="C998" s="8" t="str">
        <f>Gia_VLieu!C13</f>
        <v>tập</v>
      </c>
      <c r="D998" s="86">
        <f>Gia_VLieu!D13</f>
        <v>8000</v>
      </c>
      <c r="E998" s="72">
        <v>5</v>
      </c>
      <c r="F998" s="21">
        <f t="shared" si="69"/>
        <v>40000</v>
      </c>
      <c r="H998" s="12">
        <v>994</v>
      </c>
    </row>
    <row r="999" spans="1:8" s="5" customFormat="1">
      <c r="A999" s="57">
        <v>11</v>
      </c>
      <c r="B999" s="58" t="s">
        <v>87</v>
      </c>
      <c r="C999" s="59" t="str">
        <f>Gia_VLieu!C14</f>
        <v>cái</v>
      </c>
      <c r="D999" s="87">
        <f>Gia_VLieu!D14</f>
        <v>15000</v>
      </c>
      <c r="E999" s="73">
        <v>8</v>
      </c>
      <c r="F999" s="55">
        <f>D999*E999</f>
        <v>120000</v>
      </c>
      <c r="H999" s="12">
        <v>995</v>
      </c>
    </row>
    <row r="1000" spans="1:8" s="16" customFormat="1">
      <c r="A1000" s="14" t="e">
        <f>#REF!</f>
        <v>#REF!</v>
      </c>
      <c r="B1000" s="10" t="e">
        <f>#REF!</f>
        <v>#REF!</v>
      </c>
      <c r="C1000" s="9"/>
      <c r="D1000" s="92"/>
      <c r="E1000" s="66"/>
      <c r="F1000" s="22"/>
      <c r="H1000" s="12">
        <v>996</v>
      </c>
    </row>
    <row r="1001" spans="1:8" s="46" customFormat="1">
      <c r="A1001" s="44" t="e">
        <f>#REF!</f>
        <v>#REF!</v>
      </c>
      <c r="B1001" s="45" t="e">
        <f>#REF!</f>
        <v>#REF!</v>
      </c>
      <c r="C1001" s="20"/>
      <c r="D1001" s="151">
        <f>Gia_VLieu!D$16</f>
        <v>1</v>
      </c>
      <c r="E1001" s="63"/>
      <c r="F1001" s="23">
        <f>SUM(F1002:F1012)*D1001</f>
        <v>310500</v>
      </c>
      <c r="H1001" s="12">
        <v>997</v>
      </c>
    </row>
    <row r="1002" spans="1:8" s="5" customFormat="1">
      <c r="A1002" s="15">
        <v>1</v>
      </c>
      <c r="B1002" s="7" t="s">
        <v>77</v>
      </c>
      <c r="C1002" s="8" t="str">
        <f>Gia_VLieu!C4</f>
        <v>gram</v>
      </c>
      <c r="D1002" s="86">
        <f>Gia_VLieu!D4</f>
        <v>45000</v>
      </c>
      <c r="E1002" s="72">
        <v>1</v>
      </c>
      <c r="F1002" s="21">
        <f>D1002*E1002</f>
        <v>45000</v>
      </c>
      <c r="H1002" s="12">
        <v>998</v>
      </c>
    </row>
    <row r="1003" spans="1:8" s="5" customFormat="1">
      <c r="A1003" s="15">
        <v>2</v>
      </c>
      <c r="B1003" s="7" t="s">
        <v>78</v>
      </c>
      <c r="C1003" s="8" t="str">
        <f>Gia_VLieu!C5</f>
        <v>hộp</v>
      </c>
      <c r="D1003" s="86">
        <f>Gia_VLieu!D5</f>
        <v>1450000</v>
      </c>
      <c r="E1003" s="72">
        <v>0.02</v>
      </c>
      <c r="F1003" s="21">
        <f t="shared" ref="F1003:F1011" si="70">D1003*E1003</f>
        <v>29000</v>
      </c>
      <c r="H1003" s="12">
        <v>999</v>
      </c>
    </row>
    <row r="1004" spans="1:8" s="5" customFormat="1">
      <c r="A1004" s="15">
        <v>3</v>
      </c>
      <c r="B1004" s="7" t="s">
        <v>79</v>
      </c>
      <c r="C1004" s="8" t="str">
        <f>Gia_VLieu!C6</f>
        <v>hộp</v>
      </c>
      <c r="D1004" s="86">
        <f>Gia_VLieu!D6</f>
        <v>250000</v>
      </c>
      <c r="E1004" s="72">
        <v>0.01</v>
      </c>
      <c r="F1004" s="21">
        <f t="shared" si="70"/>
        <v>2500</v>
      </c>
      <c r="H1004" s="12">
        <v>1000</v>
      </c>
    </row>
    <row r="1005" spans="1:8" s="5" customFormat="1">
      <c r="A1005" s="15">
        <v>4</v>
      </c>
      <c r="B1005" s="7" t="s">
        <v>80</v>
      </c>
      <c r="C1005" s="8" t="str">
        <f>Gia_VLieu!C7</f>
        <v>quyển</v>
      </c>
      <c r="D1005" s="86">
        <f>Gia_VLieu!D7</f>
        <v>10000</v>
      </c>
      <c r="E1005" s="72">
        <v>6</v>
      </c>
      <c r="F1005" s="21">
        <f t="shared" si="70"/>
        <v>60000</v>
      </c>
      <c r="H1005" s="12">
        <v>1001</v>
      </c>
    </row>
    <row r="1006" spans="1:8" s="5" customFormat="1">
      <c r="A1006" s="15">
        <v>5</v>
      </c>
      <c r="B1006" s="7" t="s">
        <v>21</v>
      </c>
      <c r="C1006" s="8" t="str">
        <f>Gia_VLieu!C8</f>
        <v>cái</v>
      </c>
      <c r="D1006" s="86">
        <f>Gia_VLieu!D8</f>
        <v>2000</v>
      </c>
      <c r="E1006" s="72">
        <v>26</v>
      </c>
      <c r="F1006" s="21">
        <f t="shared" si="70"/>
        <v>52000</v>
      </c>
      <c r="H1006" s="12">
        <v>1002</v>
      </c>
    </row>
    <row r="1007" spans="1:8" s="5" customFormat="1">
      <c r="A1007" s="15">
        <v>6</v>
      </c>
      <c r="B1007" s="7" t="s">
        <v>82</v>
      </c>
      <c r="C1007" s="8" t="str">
        <f>Gia_VLieu!C9</f>
        <v>cái</v>
      </c>
      <c r="D1007" s="86">
        <f>Gia_VLieu!D9</f>
        <v>8000</v>
      </c>
      <c r="E1007" s="72">
        <v>2</v>
      </c>
      <c r="F1007" s="21">
        <f t="shared" si="70"/>
        <v>16000</v>
      </c>
      <c r="H1007" s="12">
        <v>1003</v>
      </c>
    </row>
    <row r="1008" spans="1:8" s="5" customFormat="1">
      <c r="A1008" s="15">
        <v>7</v>
      </c>
      <c r="B1008" s="7" t="s">
        <v>83</v>
      </c>
      <c r="C1008" s="8" t="str">
        <f>Gia_VLieu!C10</f>
        <v>cái</v>
      </c>
      <c r="D1008" s="86">
        <f>Gia_VLieu!D10</f>
        <v>10000</v>
      </c>
      <c r="E1008" s="72">
        <v>2</v>
      </c>
      <c r="F1008" s="21">
        <f t="shared" si="70"/>
        <v>20000</v>
      </c>
      <c r="H1008" s="12">
        <v>1004</v>
      </c>
    </row>
    <row r="1009" spans="1:8" s="5" customFormat="1">
      <c r="A1009" s="15">
        <v>8</v>
      </c>
      <c r="B1009" s="7" t="s">
        <v>84</v>
      </c>
      <c r="C1009" s="8" t="str">
        <f>Gia_VLieu!C11</f>
        <v>hộp</v>
      </c>
      <c r="D1009" s="86">
        <f>Gia_VLieu!D11</f>
        <v>2500</v>
      </c>
      <c r="E1009" s="72">
        <v>2</v>
      </c>
      <c r="F1009" s="21">
        <f t="shared" si="70"/>
        <v>5000</v>
      </c>
      <c r="H1009" s="12">
        <v>1005</v>
      </c>
    </row>
    <row r="1010" spans="1:8" s="5" customFormat="1">
      <c r="A1010" s="15">
        <v>9</v>
      </c>
      <c r="B1010" s="7" t="s">
        <v>85</v>
      </c>
      <c r="C1010" s="8" t="str">
        <f>Gia_VLieu!C12</f>
        <v>hộp</v>
      </c>
      <c r="D1010" s="86">
        <f>Gia_VLieu!D12</f>
        <v>2000</v>
      </c>
      <c r="E1010" s="72">
        <v>2</v>
      </c>
      <c r="F1010" s="21">
        <f t="shared" si="70"/>
        <v>4000</v>
      </c>
      <c r="H1010" s="12">
        <v>1006</v>
      </c>
    </row>
    <row r="1011" spans="1:8" s="5" customFormat="1">
      <c r="A1011" s="15">
        <v>10</v>
      </c>
      <c r="B1011" s="7" t="s">
        <v>86</v>
      </c>
      <c r="C1011" s="8" t="str">
        <f>Gia_VLieu!C13</f>
        <v>tập</v>
      </c>
      <c r="D1011" s="86">
        <f>Gia_VLieu!D13</f>
        <v>8000</v>
      </c>
      <c r="E1011" s="72">
        <v>4</v>
      </c>
      <c r="F1011" s="21">
        <f t="shared" si="70"/>
        <v>32000</v>
      </c>
      <c r="H1011" s="12">
        <v>1007</v>
      </c>
    </row>
    <row r="1012" spans="1:8" s="5" customFormat="1">
      <c r="A1012" s="57">
        <v>11</v>
      </c>
      <c r="B1012" s="58" t="s">
        <v>87</v>
      </c>
      <c r="C1012" s="59" t="str">
        <f>Gia_VLieu!C14</f>
        <v>cái</v>
      </c>
      <c r="D1012" s="87">
        <f>Gia_VLieu!D14</f>
        <v>15000</v>
      </c>
      <c r="E1012" s="73">
        <v>3</v>
      </c>
      <c r="F1012" s="55">
        <f>D1012*E1012</f>
        <v>45000</v>
      </c>
      <c r="H1012" s="12">
        <v>1008</v>
      </c>
    </row>
    <row r="1013" spans="1:8" s="46" customFormat="1">
      <c r="A1013" s="44" t="e">
        <f>#REF!</f>
        <v>#REF!</v>
      </c>
      <c r="B1013" s="45" t="e">
        <f>#REF!</f>
        <v>#REF!</v>
      </c>
      <c r="C1013" s="20"/>
      <c r="D1013" s="151">
        <f>Gia_VLieu!D$16</f>
        <v>1</v>
      </c>
      <c r="E1013" s="63"/>
      <c r="F1013" s="23">
        <f>SUM(F1014:F1024)*D1013</f>
        <v>310500</v>
      </c>
      <c r="H1013" s="12">
        <v>1009</v>
      </c>
    </row>
    <row r="1014" spans="1:8" s="5" customFormat="1">
      <c r="A1014" s="15">
        <v>1</v>
      </c>
      <c r="B1014" s="7" t="s">
        <v>77</v>
      </c>
      <c r="C1014" s="8" t="str">
        <f>Gia_VLieu!C4</f>
        <v>gram</v>
      </c>
      <c r="D1014" s="86">
        <f>Gia_VLieu!D4</f>
        <v>45000</v>
      </c>
      <c r="E1014" s="72">
        <v>1</v>
      </c>
      <c r="F1014" s="21">
        <f>D1014*E1014</f>
        <v>45000</v>
      </c>
      <c r="H1014" s="12">
        <v>1010</v>
      </c>
    </row>
    <row r="1015" spans="1:8" s="5" customFormat="1">
      <c r="A1015" s="15">
        <v>2</v>
      </c>
      <c r="B1015" s="7" t="s">
        <v>78</v>
      </c>
      <c r="C1015" s="8" t="str">
        <f>Gia_VLieu!C5</f>
        <v>hộp</v>
      </c>
      <c r="D1015" s="86">
        <f>Gia_VLieu!D5</f>
        <v>1450000</v>
      </c>
      <c r="E1015" s="72">
        <v>0.02</v>
      </c>
      <c r="F1015" s="21">
        <f t="shared" ref="F1015:F1023" si="71">D1015*E1015</f>
        <v>29000</v>
      </c>
      <c r="H1015" s="12">
        <v>1011</v>
      </c>
    </row>
    <row r="1016" spans="1:8" s="5" customFormat="1">
      <c r="A1016" s="15">
        <v>3</v>
      </c>
      <c r="B1016" s="7" t="s">
        <v>79</v>
      </c>
      <c r="C1016" s="8" t="str">
        <f>Gia_VLieu!C6</f>
        <v>hộp</v>
      </c>
      <c r="D1016" s="86">
        <f>Gia_VLieu!D6</f>
        <v>250000</v>
      </c>
      <c r="E1016" s="72">
        <v>0.01</v>
      </c>
      <c r="F1016" s="21">
        <f t="shared" si="71"/>
        <v>2500</v>
      </c>
      <c r="H1016" s="12">
        <v>1012</v>
      </c>
    </row>
    <row r="1017" spans="1:8" s="5" customFormat="1">
      <c r="A1017" s="15">
        <v>4</v>
      </c>
      <c r="B1017" s="7" t="s">
        <v>80</v>
      </c>
      <c r="C1017" s="8" t="str">
        <f>Gia_VLieu!C7</f>
        <v>quyển</v>
      </c>
      <c r="D1017" s="86">
        <f>Gia_VLieu!D7</f>
        <v>10000</v>
      </c>
      <c r="E1017" s="72">
        <v>6</v>
      </c>
      <c r="F1017" s="21">
        <f t="shared" si="71"/>
        <v>60000</v>
      </c>
      <c r="H1017" s="12">
        <v>1013</v>
      </c>
    </row>
    <row r="1018" spans="1:8" s="5" customFormat="1">
      <c r="A1018" s="15">
        <v>5</v>
      </c>
      <c r="B1018" s="7" t="s">
        <v>21</v>
      </c>
      <c r="C1018" s="8" t="str">
        <f>Gia_VLieu!C8</f>
        <v>cái</v>
      </c>
      <c r="D1018" s="86">
        <f>Gia_VLieu!D8</f>
        <v>2000</v>
      </c>
      <c r="E1018" s="72">
        <v>26</v>
      </c>
      <c r="F1018" s="21">
        <f t="shared" si="71"/>
        <v>52000</v>
      </c>
      <c r="H1018" s="12">
        <v>1014</v>
      </c>
    </row>
    <row r="1019" spans="1:8" s="5" customFormat="1">
      <c r="A1019" s="15">
        <v>6</v>
      </c>
      <c r="B1019" s="7" t="s">
        <v>82</v>
      </c>
      <c r="C1019" s="8" t="str">
        <f>Gia_VLieu!C9</f>
        <v>cái</v>
      </c>
      <c r="D1019" s="86">
        <f>Gia_VLieu!D9</f>
        <v>8000</v>
      </c>
      <c r="E1019" s="72">
        <v>2</v>
      </c>
      <c r="F1019" s="21">
        <f t="shared" si="71"/>
        <v>16000</v>
      </c>
      <c r="H1019" s="12">
        <v>1015</v>
      </c>
    </row>
    <row r="1020" spans="1:8" s="5" customFormat="1">
      <c r="A1020" s="15">
        <v>7</v>
      </c>
      <c r="B1020" s="7" t="s">
        <v>83</v>
      </c>
      <c r="C1020" s="8" t="str">
        <f>Gia_VLieu!C10</f>
        <v>cái</v>
      </c>
      <c r="D1020" s="86">
        <f>Gia_VLieu!D10</f>
        <v>10000</v>
      </c>
      <c r="E1020" s="72">
        <v>2</v>
      </c>
      <c r="F1020" s="21">
        <f t="shared" si="71"/>
        <v>20000</v>
      </c>
      <c r="H1020" s="12">
        <v>1016</v>
      </c>
    </row>
    <row r="1021" spans="1:8" s="5" customFormat="1">
      <c r="A1021" s="15">
        <v>8</v>
      </c>
      <c r="B1021" s="7" t="s">
        <v>84</v>
      </c>
      <c r="C1021" s="8" t="str">
        <f>Gia_VLieu!C11</f>
        <v>hộp</v>
      </c>
      <c r="D1021" s="86">
        <f>Gia_VLieu!D11</f>
        <v>2500</v>
      </c>
      <c r="E1021" s="72">
        <v>2</v>
      </c>
      <c r="F1021" s="21">
        <f t="shared" si="71"/>
        <v>5000</v>
      </c>
      <c r="H1021" s="12">
        <v>1017</v>
      </c>
    </row>
    <row r="1022" spans="1:8" s="5" customFormat="1">
      <c r="A1022" s="15">
        <v>9</v>
      </c>
      <c r="B1022" s="7" t="s">
        <v>85</v>
      </c>
      <c r="C1022" s="8" t="str">
        <f>Gia_VLieu!C12</f>
        <v>hộp</v>
      </c>
      <c r="D1022" s="86">
        <f>Gia_VLieu!D12</f>
        <v>2000</v>
      </c>
      <c r="E1022" s="72">
        <v>2</v>
      </c>
      <c r="F1022" s="21">
        <f t="shared" si="71"/>
        <v>4000</v>
      </c>
      <c r="H1022" s="12">
        <v>1018</v>
      </c>
    </row>
    <row r="1023" spans="1:8" s="5" customFormat="1">
      <c r="A1023" s="15">
        <v>10</v>
      </c>
      <c r="B1023" s="7" t="s">
        <v>86</v>
      </c>
      <c r="C1023" s="8" t="str">
        <f>Gia_VLieu!C13</f>
        <v>tập</v>
      </c>
      <c r="D1023" s="86">
        <f>Gia_VLieu!D13</f>
        <v>8000</v>
      </c>
      <c r="E1023" s="72">
        <v>4</v>
      </c>
      <c r="F1023" s="21">
        <f t="shared" si="71"/>
        <v>32000</v>
      </c>
      <c r="H1023" s="12">
        <v>1019</v>
      </c>
    </row>
    <row r="1024" spans="1:8" s="5" customFormat="1">
      <c r="A1024" s="57">
        <v>11</v>
      </c>
      <c r="B1024" s="58" t="s">
        <v>87</v>
      </c>
      <c r="C1024" s="59" t="str">
        <f>Gia_VLieu!C14</f>
        <v>cái</v>
      </c>
      <c r="D1024" s="87">
        <f>Gia_VLieu!D14</f>
        <v>15000</v>
      </c>
      <c r="E1024" s="73">
        <v>3</v>
      </c>
      <c r="F1024" s="55">
        <f>D1024*E1024</f>
        <v>45000</v>
      </c>
      <c r="H1024" s="12">
        <v>1020</v>
      </c>
    </row>
    <row r="1025" spans="1:8" s="46" customFormat="1">
      <c r="A1025" s="44" t="e">
        <f>#REF!</f>
        <v>#REF!</v>
      </c>
      <c r="B1025" s="45" t="e">
        <f>#REF!</f>
        <v>#REF!</v>
      </c>
      <c r="C1025" s="20"/>
      <c r="D1025" s="151">
        <f>Gia_VLieu!D$16</f>
        <v>1</v>
      </c>
      <c r="E1025" s="63"/>
      <c r="F1025" s="23">
        <f>SUM(F1026:F1036)*D1025</f>
        <v>310500</v>
      </c>
      <c r="H1025" s="12">
        <v>1021</v>
      </c>
    </row>
    <row r="1026" spans="1:8" s="5" customFormat="1">
      <c r="A1026" s="15">
        <v>1</v>
      </c>
      <c r="B1026" s="7" t="s">
        <v>77</v>
      </c>
      <c r="C1026" s="8" t="str">
        <f>Gia_VLieu!C4</f>
        <v>gram</v>
      </c>
      <c r="D1026" s="86">
        <f>Gia_VLieu!D4</f>
        <v>45000</v>
      </c>
      <c r="E1026" s="72">
        <v>1</v>
      </c>
      <c r="F1026" s="21">
        <f>D1026*E1026</f>
        <v>45000</v>
      </c>
      <c r="H1026" s="12">
        <v>1022</v>
      </c>
    </row>
    <row r="1027" spans="1:8" s="5" customFormat="1">
      <c r="A1027" s="15">
        <v>2</v>
      </c>
      <c r="B1027" s="7" t="s">
        <v>78</v>
      </c>
      <c r="C1027" s="8" t="str">
        <f>Gia_VLieu!C5</f>
        <v>hộp</v>
      </c>
      <c r="D1027" s="86">
        <f>Gia_VLieu!D5</f>
        <v>1450000</v>
      </c>
      <c r="E1027" s="72">
        <v>0.02</v>
      </c>
      <c r="F1027" s="21">
        <f t="shared" ref="F1027:F1035" si="72">D1027*E1027</f>
        <v>29000</v>
      </c>
      <c r="H1027" s="12">
        <v>1023</v>
      </c>
    </row>
    <row r="1028" spans="1:8" s="5" customFormat="1">
      <c r="A1028" s="15">
        <v>3</v>
      </c>
      <c r="B1028" s="7" t="s">
        <v>79</v>
      </c>
      <c r="C1028" s="8" t="str">
        <f>Gia_VLieu!C6</f>
        <v>hộp</v>
      </c>
      <c r="D1028" s="86">
        <f>Gia_VLieu!D6</f>
        <v>250000</v>
      </c>
      <c r="E1028" s="72">
        <v>0.01</v>
      </c>
      <c r="F1028" s="21">
        <f t="shared" si="72"/>
        <v>2500</v>
      </c>
      <c r="H1028" s="12">
        <v>1024</v>
      </c>
    </row>
    <row r="1029" spans="1:8" s="5" customFormat="1">
      <c r="A1029" s="15">
        <v>4</v>
      </c>
      <c r="B1029" s="7" t="s">
        <v>80</v>
      </c>
      <c r="C1029" s="8" t="str">
        <f>Gia_VLieu!C7</f>
        <v>quyển</v>
      </c>
      <c r="D1029" s="86">
        <f>Gia_VLieu!D7</f>
        <v>10000</v>
      </c>
      <c r="E1029" s="72">
        <v>6</v>
      </c>
      <c r="F1029" s="21">
        <f t="shared" si="72"/>
        <v>60000</v>
      </c>
      <c r="H1029" s="12">
        <v>1025</v>
      </c>
    </row>
    <row r="1030" spans="1:8" s="5" customFormat="1">
      <c r="A1030" s="15">
        <v>5</v>
      </c>
      <c r="B1030" s="7" t="s">
        <v>21</v>
      </c>
      <c r="C1030" s="8" t="str">
        <f>Gia_VLieu!C8</f>
        <v>cái</v>
      </c>
      <c r="D1030" s="86">
        <f>Gia_VLieu!D8</f>
        <v>2000</v>
      </c>
      <c r="E1030" s="72">
        <v>26</v>
      </c>
      <c r="F1030" s="21">
        <f t="shared" si="72"/>
        <v>52000</v>
      </c>
      <c r="H1030" s="12">
        <v>1026</v>
      </c>
    </row>
    <row r="1031" spans="1:8" s="5" customFormat="1">
      <c r="A1031" s="15">
        <v>6</v>
      </c>
      <c r="B1031" s="7" t="s">
        <v>82</v>
      </c>
      <c r="C1031" s="8" t="str">
        <f>Gia_VLieu!C9</f>
        <v>cái</v>
      </c>
      <c r="D1031" s="86">
        <f>Gia_VLieu!D9</f>
        <v>8000</v>
      </c>
      <c r="E1031" s="72">
        <v>2</v>
      </c>
      <c r="F1031" s="21">
        <f t="shared" si="72"/>
        <v>16000</v>
      </c>
      <c r="H1031" s="12">
        <v>1027</v>
      </c>
    </row>
    <row r="1032" spans="1:8" s="5" customFormat="1">
      <c r="A1032" s="15">
        <v>7</v>
      </c>
      <c r="B1032" s="7" t="s">
        <v>83</v>
      </c>
      <c r="C1032" s="8" t="str">
        <f>Gia_VLieu!C10</f>
        <v>cái</v>
      </c>
      <c r="D1032" s="86">
        <f>Gia_VLieu!D10</f>
        <v>10000</v>
      </c>
      <c r="E1032" s="72">
        <v>2</v>
      </c>
      <c r="F1032" s="21">
        <f t="shared" si="72"/>
        <v>20000</v>
      </c>
      <c r="H1032" s="12">
        <v>1028</v>
      </c>
    </row>
    <row r="1033" spans="1:8" s="5" customFormat="1">
      <c r="A1033" s="15">
        <v>8</v>
      </c>
      <c r="B1033" s="7" t="s">
        <v>84</v>
      </c>
      <c r="C1033" s="8" t="str">
        <f>Gia_VLieu!C11</f>
        <v>hộp</v>
      </c>
      <c r="D1033" s="86">
        <f>Gia_VLieu!D11</f>
        <v>2500</v>
      </c>
      <c r="E1033" s="72">
        <v>2</v>
      </c>
      <c r="F1033" s="21">
        <f t="shared" si="72"/>
        <v>5000</v>
      </c>
      <c r="H1033" s="12">
        <v>1029</v>
      </c>
    </row>
    <row r="1034" spans="1:8" s="5" customFormat="1">
      <c r="A1034" s="15">
        <v>9</v>
      </c>
      <c r="B1034" s="7" t="s">
        <v>85</v>
      </c>
      <c r="C1034" s="8" t="str">
        <f>Gia_VLieu!C12</f>
        <v>hộp</v>
      </c>
      <c r="D1034" s="86">
        <f>Gia_VLieu!D12</f>
        <v>2000</v>
      </c>
      <c r="E1034" s="72">
        <v>2</v>
      </c>
      <c r="F1034" s="21">
        <f t="shared" si="72"/>
        <v>4000</v>
      </c>
      <c r="H1034" s="12">
        <v>1030</v>
      </c>
    </row>
    <row r="1035" spans="1:8" s="5" customFormat="1">
      <c r="A1035" s="15">
        <v>10</v>
      </c>
      <c r="B1035" s="7" t="s">
        <v>86</v>
      </c>
      <c r="C1035" s="8" t="str">
        <f>Gia_VLieu!C13</f>
        <v>tập</v>
      </c>
      <c r="D1035" s="86">
        <f>Gia_VLieu!D13</f>
        <v>8000</v>
      </c>
      <c r="E1035" s="72">
        <v>4</v>
      </c>
      <c r="F1035" s="21">
        <f t="shared" si="72"/>
        <v>32000</v>
      </c>
      <c r="H1035" s="12">
        <v>1031</v>
      </c>
    </row>
    <row r="1036" spans="1:8" s="5" customFormat="1">
      <c r="A1036" s="57">
        <v>11</v>
      </c>
      <c r="B1036" s="58" t="s">
        <v>87</v>
      </c>
      <c r="C1036" s="59" t="str">
        <f>Gia_VLieu!C14</f>
        <v>cái</v>
      </c>
      <c r="D1036" s="87">
        <f>Gia_VLieu!D14</f>
        <v>15000</v>
      </c>
      <c r="E1036" s="73">
        <v>3</v>
      </c>
      <c r="F1036" s="55">
        <f>D1036*E1036</f>
        <v>45000</v>
      </c>
      <c r="H1036" s="12">
        <v>1032</v>
      </c>
    </row>
    <row r="1037" spans="1:8" s="46" customFormat="1">
      <c r="A1037" s="44" t="e">
        <f>#REF!</f>
        <v>#REF!</v>
      </c>
      <c r="B1037" s="45" t="e">
        <f>#REF!</f>
        <v>#REF!</v>
      </c>
      <c r="C1037" s="20"/>
      <c r="D1037" s="151">
        <f>Gia_VLieu!D$16</f>
        <v>1</v>
      </c>
      <c r="E1037" s="63"/>
      <c r="F1037" s="23">
        <f>SUM(F1038:F1048)*D1037</f>
        <v>310500</v>
      </c>
      <c r="H1037" s="12">
        <v>1033</v>
      </c>
    </row>
    <row r="1038" spans="1:8" s="5" customFormat="1">
      <c r="A1038" s="15">
        <v>1</v>
      </c>
      <c r="B1038" s="7" t="s">
        <v>77</v>
      </c>
      <c r="C1038" s="8" t="str">
        <f>Gia_VLieu!C4</f>
        <v>gram</v>
      </c>
      <c r="D1038" s="86">
        <f>Gia_VLieu!D4</f>
        <v>45000</v>
      </c>
      <c r="E1038" s="72">
        <v>1</v>
      </c>
      <c r="F1038" s="21">
        <f>D1038*E1038</f>
        <v>45000</v>
      </c>
      <c r="H1038" s="12">
        <v>1034</v>
      </c>
    </row>
    <row r="1039" spans="1:8" s="5" customFormat="1">
      <c r="A1039" s="15">
        <v>2</v>
      </c>
      <c r="B1039" s="7" t="s">
        <v>78</v>
      </c>
      <c r="C1039" s="8" t="str">
        <f>Gia_VLieu!C5</f>
        <v>hộp</v>
      </c>
      <c r="D1039" s="86">
        <f>Gia_VLieu!D5</f>
        <v>1450000</v>
      </c>
      <c r="E1039" s="72">
        <v>0.02</v>
      </c>
      <c r="F1039" s="21">
        <f t="shared" ref="F1039:F1047" si="73">D1039*E1039</f>
        <v>29000</v>
      </c>
      <c r="H1039" s="12">
        <v>1035</v>
      </c>
    </row>
    <row r="1040" spans="1:8" s="5" customFormat="1">
      <c r="A1040" s="15">
        <v>3</v>
      </c>
      <c r="B1040" s="7" t="s">
        <v>79</v>
      </c>
      <c r="C1040" s="8" t="str">
        <f>Gia_VLieu!C6</f>
        <v>hộp</v>
      </c>
      <c r="D1040" s="86">
        <f>Gia_VLieu!D6</f>
        <v>250000</v>
      </c>
      <c r="E1040" s="72">
        <v>0.01</v>
      </c>
      <c r="F1040" s="21">
        <f t="shared" si="73"/>
        <v>2500</v>
      </c>
      <c r="H1040" s="12">
        <v>1036</v>
      </c>
    </row>
    <row r="1041" spans="1:8" s="5" customFormat="1">
      <c r="A1041" s="15">
        <v>4</v>
      </c>
      <c r="B1041" s="7" t="s">
        <v>80</v>
      </c>
      <c r="C1041" s="8" t="str">
        <f>Gia_VLieu!C7</f>
        <v>quyển</v>
      </c>
      <c r="D1041" s="86">
        <f>Gia_VLieu!D7</f>
        <v>10000</v>
      </c>
      <c r="E1041" s="72">
        <v>6</v>
      </c>
      <c r="F1041" s="21">
        <f t="shared" si="73"/>
        <v>60000</v>
      </c>
      <c r="H1041" s="12">
        <v>1037</v>
      </c>
    </row>
    <row r="1042" spans="1:8" s="5" customFormat="1">
      <c r="A1042" s="15">
        <v>5</v>
      </c>
      <c r="B1042" s="7" t="s">
        <v>21</v>
      </c>
      <c r="C1042" s="8" t="str">
        <f>Gia_VLieu!C8</f>
        <v>cái</v>
      </c>
      <c r="D1042" s="86">
        <f>Gia_VLieu!D8</f>
        <v>2000</v>
      </c>
      <c r="E1042" s="72">
        <v>26</v>
      </c>
      <c r="F1042" s="21">
        <f t="shared" si="73"/>
        <v>52000</v>
      </c>
      <c r="H1042" s="12">
        <v>1038</v>
      </c>
    </row>
    <row r="1043" spans="1:8" s="5" customFormat="1">
      <c r="A1043" s="15">
        <v>6</v>
      </c>
      <c r="B1043" s="7" t="s">
        <v>82</v>
      </c>
      <c r="C1043" s="8" t="str">
        <f>Gia_VLieu!C9</f>
        <v>cái</v>
      </c>
      <c r="D1043" s="86">
        <f>Gia_VLieu!D9</f>
        <v>8000</v>
      </c>
      <c r="E1043" s="72">
        <v>2</v>
      </c>
      <c r="F1043" s="21">
        <f t="shared" si="73"/>
        <v>16000</v>
      </c>
      <c r="H1043" s="12">
        <v>1039</v>
      </c>
    </row>
    <row r="1044" spans="1:8" s="5" customFormat="1">
      <c r="A1044" s="15">
        <v>7</v>
      </c>
      <c r="B1044" s="7" t="s">
        <v>83</v>
      </c>
      <c r="C1044" s="8" t="str">
        <f>Gia_VLieu!C10</f>
        <v>cái</v>
      </c>
      <c r="D1044" s="86">
        <f>Gia_VLieu!D10</f>
        <v>10000</v>
      </c>
      <c r="E1044" s="72">
        <v>2</v>
      </c>
      <c r="F1044" s="21">
        <f t="shared" si="73"/>
        <v>20000</v>
      </c>
      <c r="H1044" s="12">
        <v>1040</v>
      </c>
    </row>
    <row r="1045" spans="1:8" s="5" customFormat="1">
      <c r="A1045" s="15">
        <v>8</v>
      </c>
      <c r="B1045" s="7" t="s">
        <v>84</v>
      </c>
      <c r="C1045" s="8" t="str">
        <f>Gia_VLieu!C11</f>
        <v>hộp</v>
      </c>
      <c r="D1045" s="86">
        <f>Gia_VLieu!D11</f>
        <v>2500</v>
      </c>
      <c r="E1045" s="72">
        <v>2</v>
      </c>
      <c r="F1045" s="21">
        <f t="shared" si="73"/>
        <v>5000</v>
      </c>
      <c r="H1045" s="12">
        <v>1041</v>
      </c>
    </row>
    <row r="1046" spans="1:8" s="5" customFormat="1">
      <c r="A1046" s="15">
        <v>9</v>
      </c>
      <c r="B1046" s="7" t="s">
        <v>85</v>
      </c>
      <c r="C1046" s="8" t="str">
        <f>Gia_VLieu!C12</f>
        <v>hộp</v>
      </c>
      <c r="D1046" s="86">
        <f>Gia_VLieu!D12</f>
        <v>2000</v>
      </c>
      <c r="E1046" s="72">
        <v>2</v>
      </c>
      <c r="F1046" s="21">
        <f t="shared" si="73"/>
        <v>4000</v>
      </c>
      <c r="H1046" s="12">
        <v>1042</v>
      </c>
    </row>
    <row r="1047" spans="1:8" s="5" customFormat="1">
      <c r="A1047" s="15">
        <v>10</v>
      </c>
      <c r="B1047" s="7" t="s">
        <v>86</v>
      </c>
      <c r="C1047" s="8" t="str">
        <f>Gia_VLieu!C13</f>
        <v>tập</v>
      </c>
      <c r="D1047" s="86">
        <f>Gia_VLieu!D13</f>
        <v>8000</v>
      </c>
      <c r="E1047" s="72">
        <v>4</v>
      </c>
      <c r="F1047" s="21">
        <f t="shared" si="73"/>
        <v>32000</v>
      </c>
      <c r="H1047" s="12">
        <v>1043</v>
      </c>
    </row>
    <row r="1048" spans="1:8" s="5" customFormat="1">
      <c r="A1048" s="57">
        <v>11</v>
      </c>
      <c r="B1048" s="58" t="s">
        <v>87</v>
      </c>
      <c r="C1048" s="59" t="str">
        <f>Gia_VLieu!C14</f>
        <v>cái</v>
      </c>
      <c r="D1048" s="87">
        <f>Gia_VLieu!D14</f>
        <v>15000</v>
      </c>
      <c r="E1048" s="73">
        <v>3</v>
      </c>
      <c r="F1048" s="55">
        <f>D1048*E1048</f>
        <v>45000</v>
      </c>
      <c r="H1048" s="12">
        <v>1044</v>
      </c>
    </row>
    <row r="1049" spans="1:8" s="46" customFormat="1">
      <c r="A1049" s="44" t="e">
        <f>#REF!</f>
        <v>#REF!</v>
      </c>
      <c r="B1049" s="45" t="e">
        <f>#REF!</f>
        <v>#REF!</v>
      </c>
      <c r="C1049" s="20"/>
      <c r="D1049" s="151">
        <f>Gia_VLieu!D$16</f>
        <v>1</v>
      </c>
      <c r="E1049" s="63"/>
      <c r="F1049" s="23">
        <f>SUM(F1050:F1060)*D1049</f>
        <v>584000</v>
      </c>
      <c r="H1049" s="12">
        <v>1045</v>
      </c>
    </row>
    <row r="1050" spans="1:8" s="5" customFormat="1">
      <c r="A1050" s="15">
        <v>1</v>
      </c>
      <c r="B1050" s="7" t="s">
        <v>77</v>
      </c>
      <c r="C1050" s="8" t="str">
        <f>Gia_VLieu!C4</f>
        <v>gram</v>
      </c>
      <c r="D1050" s="86">
        <f>Gia_VLieu!D4</f>
        <v>45000</v>
      </c>
      <c r="E1050" s="72">
        <v>2</v>
      </c>
      <c r="F1050" s="21">
        <f>D1050*E1050</f>
        <v>90000</v>
      </c>
      <c r="H1050" s="12">
        <v>1046</v>
      </c>
    </row>
    <row r="1051" spans="1:8" s="5" customFormat="1">
      <c r="A1051" s="15">
        <v>2</v>
      </c>
      <c r="B1051" s="7" t="s">
        <v>78</v>
      </c>
      <c r="C1051" s="8" t="str">
        <f>Gia_VLieu!C5</f>
        <v>hộp</v>
      </c>
      <c r="D1051" s="86">
        <f>Gia_VLieu!D5</f>
        <v>1450000</v>
      </c>
      <c r="E1051" s="72">
        <v>0.12</v>
      </c>
      <c r="F1051" s="21">
        <f t="shared" ref="F1051:F1059" si="74">D1051*E1051</f>
        <v>174000</v>
      </c>
      <c r="H1051" s="12">
        <v>1047</v>
      </c>
    </row>
    <row r="1052" spans="1:8" s="5" customFormat="1">
      <c r="A1052" s="15">
        <v>3</v>
      </c>
      <c r="B1052" s="7" t="s">
        <v>79</v>
      </c>
      <c r="C1052" s="8" t="str">
        <f>Gia_VLieu!C6</f>
        <v>hộp</v>
      </c>
      <c r="D1052" s="86">
        <f>Gia_VLieu!D6</f>
        <v>250000</v>
      </c>
      <c r="E1052" s="72">
        <v>0.06</v>
      </c>
      <c r="F1052" s="21">
        <f t="shared" si="74"/>
        <v>15000</v>
      </c>
      <c r="H1052" s="12">
        <v>1048</v>
      </c>
    </row>
    <row r="1053" spans="1:8" s="5" customFormat="1">
      <c r="A1053" s="15">
        <v>4</v>
      </c>
      <c r="B1053" s="7" t="s">
        <v>80</v>
      </c>
      <c r="C1053" s="8" t="str">
        <f>Gia_VLieu!C7</f>
        <v>quyển</v>
      </c>
      <c r="D1053" s="86">
        <f>Gia_VLieu!D7</f>
        <v>10000</v>
      </c>
      <c r="E1053" s="72">
        <v>6</v>
      </c>
      <c r="F1053" s="21">
        <f t="shared" si="74"/>
        <v>60000</v>
      </c>
      <c r="H1053" s="12">
        <v>1049</v>
      </c>
    </row>
    <row r="1054" spans="1:8" s="5" customFormat="1">
      <c r="A1054" s="15">
        <v>5</v>
      </c>
      <c r="B1054" s="7" t="s">
        <v>21</v>
      </c>
      <c r="C1054" s="8" t="str">
        <f>Gia_VLieu!C8</f>
        <v>cái</v>
      </c>
      <c r="D1054" s="86">
        <f>Gia_VLieu!D8</f>
        <v>2000</v>
      </c>
      <c r="E1054" s="72">
        <v>30</v>
      </c>
      <c r="F1054" s="21">
        <f t="shared" si="74"/>
        <v>60000</v>
      </c>
      <c r="H1054" s="12">
        <v>1050</v>
      </c>
    </row>
    <row r="1055" spans="1:8" s="5" customFormat="1">
      <c r="A1055" s="15">
        <v>6</v>
      </c>
      <c r="B1055" s="7" t="s">
        <v>82</v>
      </c>
      <c r="C1055" s="8" t="str">
        <f>Gia_VLieu!C9</f>
        <v>cái</v>
      </c>
      <c r="D1055" s="86">
        <f>Gia_VLieu!D9</f>
        <v>8000</v>
      </c>
      <c r="E1055" s="72">
        <v>4</v>
      </c>
      <c r="F1055" s="21">
        <f t="shared" si="74"/>
        <v>32000</v>
      </c>
      <c r="H1055" s="12">
        <v>1051</v>
      </c>
    </row>
    <row r="1056" spans="1:8" s="5" customFormat="1">
      <c r="A1056" s="15">
        <v>7</v>
      </c>
      <c r="B1056" s="7" t="s">
        <v>83</v>
      </c>
      <c r="C1056" s="8" t="str">
        <f>Gia_VLieu!C10</f>
        <v>cái</v>
      </c>
      <c r="D1056" s="86">
        <f>Gia_VLieu!D10</f>
        <v>10000</v>
      </c>
      <c r="E1056" s="72">
        <v>4</v>
      </c>
      <c r="F1056" s="21">
        <f t="shared" si="74"/>
        <v>40000</v>
      </c>
      <c r="H1056" s="12">
        <v>1052</v>
      </c>
    </row>
    <row r="1057" spans="1:8" s="5" customFormat="1">
      <c r="A1057" s="15">
        <v>8</v>
      </c>
      <c r="B1057" s="7" t="s">
        <v>84</v>
      </c>
      <c r="C1057" s="8" t="str">
        <f>Gia_VLieu!C11</f>
        <v>hộp</v>
      </c>
      <c r="D1057" s="86">
        <f>Gia_VLieu!D11</f>
        <v>2500</v>
      </c>
      <c r="E1057" s="72">
        <v>2</v>
      </c>
      <c r="F1057" s="21">
        <f t="shared" si="74"/>
        <v>5000</v>
      </c>
      <c r="H1057" s="12">
        <v>1053</v>
      </c>
    </row>
    <row r="1058" spans="1:8" s="5" customFormat="1">
      <c r="A1058" s="15">
        <v>9</v>
      </c>
      <c r="B1058" s="7" t="s">
        <v>85</v>
      </c>
      <c r="C1058" s="8" t="str">
        <f>Gia_VLieu!C12</f>
        <v>hộp</v>
      </c>
      <c r="D1058" s="86">
        <f>Gia_VLieu!D12</f>
        <v>2000</v>
      </c>
      <c r="E1058" s="72">
        <v>4</v>
      </c>
      <c r="F1058" s="21">
        <f t="shared" si="74"/>
        <v>8000</v>
      </c>
      <c r="H1058" s="12">
        <v>1054</v>
      </c>
    </row>
    <row r="1059" spans="1:8" s="5" customFormat="1">
      <c r="A1059" s="15">
        <v>10</v>
      </c>
      <c r="B1059" s="7" t="s">
        <v>86</v>
      </c>
      <c r="C1059" s="8" t="str">
        <f>Gia_VLieu!C13</f>
        <v>tập</v>
      </c>
      <c r="D1059" s="86">
        <f>Gia_VLieu!D13</f>
        <v>8000</v>
      </c>
      <c r="E1059" s="72">
        <v>5</v>
      </c>
      <c r="F1059" s="21">
        <f t="shared" si="74"/>
        <v>40000</v>
      </c>
      <c r="H1059" s="12">
        <v>1055</v>
      </c>
    </row>
    <row r="1060" spans="1:8" s="5" customFormat="1">
      <c r="A1060" s="57">
        <v>11</v>
      </c>
      <c r="B1060" s="58" t="s">
        <v>87</v>
      </c>
      <c r="C1060" s="59" t="str">
        <f>Gia_VLieu!C14</f>
        <v>cái</v>
      </c>
      <c r="D1060" s="87">
        <f>Gia_VLieu!D14</f>
        <v>15000</v>
      </c>
      <c r="E1060" s="73">
        <v>4</v>
      </c>
      <c r="F1060" s="55">
        <f>D1060*E1060</f>
        <v>60000</v>
      </c>
      <c r="H1060" s="12">
        <v>1056</v>
      </c>
    </row>
    <row r="1061" spans="1:8" s="16" customFormat="1">
      <c r="A1061" s="14" t="e">
        <f>#REF!</f>
        <v>#REF!</v>
      </c>
      <c r="B1061" s="10" t="e">
        <f>#REF!</f>
        <v>#REF!</v>
      </c>
      <c r="C1061" s="9"/>
      <c r="D1061" s="92"/>
      <c r="E1061" s="66"/>
      <c r="F1061" s="22"/>
      <c r="H1061" s="12">
        <v>1057</v>
      </c>
    </row>
    <row r="1062" spans="1:8" s="46" customFormat="1">
      <c r="A1062" s="44" t="e">
        <f>#REF!</f>
        <v>#REF!</v>
      </c>
      <c r="B1062" s="45" t="e">
        <f>#REF!</f>
        <v>#REF!</v>
      </c>
      <c r="C1062" s="20"/>
      <c r="D1062" s="151">
        <f>Gia_VLieu!D$16</f>
        <v>1</v>
      </c>
      <c r="E1062" s="63"/>
      <c r="F1062" s="23">
        <f>SUM(F1063:F1073)*D1062</f>
        <v>2639000</v>
      </c>
      <c r="H1062" s="12">
        <v>1058</v>
      </c>
    </row>
    <row r="1063" spans="1:8" s="5" customFormat="1">
      <c r="A1063" s="15">
        <v>1</v>
      </c>
      <c r="B1063" s="7" t="s">
        <v>77</v>
      </c>
      <c r="C1063" s="8" t="str">
        <f>Gia_VLieu!C4</f>
        <v>gram</v>
      </c>
      <c r="D1063" s="86">
        <f>Gia_VLieu!D4</f>
        <v>45000</v>
      </c>
      <c r="E1063" s="72">
        <v>5</v>
      </c>
      <c r="F1063" s="21">
        <f>D1063*E1063</f>
        <v>225000</v>
      </c>
      <c r="H1063" s="12">
        <v>1059</v>
      </c>
    </row>
    <row r="1064" spans="1:8" s="5" customFormat="1">
      <c r="A1064" s="15">
        <v>2</v>
      </c>
      <c r="B1064" s="7" t="s">
        <v>78</v>
      </c>
      <c r="C1064" s="8" t="str">
        <f>Gia_VLieu!C5</f>
        <v>hộp</v>
      </c>
      <c r="D1064" s="86">
        <f>Gia_VLieu!D5</f>
        <v>1450000</v>
      </c>
      <c r="E1064" s="72">
        <v>0.8</v>
      </c>
      <c r="F1064" s="21">
        <f t="shared" ref="F1064:F1072" si="75">D1064*E1064</f>
        <v>1160000</v>
      </c>
      <c r="H1064" s="12">
        <v>1060</v>
      </c>
    </row>
    <row r="1065" spans="1:8" s="5" customFormat="1">
      <c r="A1065" s="15">
        <v>3</v>
      </c>
      <c r="B1065" s="7" t="s">
        <v>79</v>
      </c>
      <c r="C1065" s="8" t="str">
        <f>Gia_VLieu!C6</f>
        <v>hộp</v>
      </c>
      <c r="D1065" s="86">
        <f>Gia_VLieu!D6</f>
        <v>250000</v>
      </c>
      <c r="E1065" s="72">
        <v>1.5</v>
      </c>
      <c r="F1065" s="21">
        <f t="shared" si="75"/>
        <v>375000</v>
      </c>
      <c r="H1065" s="12">
        <v>1061</v>
      </c>
    </row>
    <row r="1066" spans="1:8" s="5" customFormat="1">
      <c r="A1066" s="15">
        <v>4</v>
      </c>
      <c r="B1066" s="7" t="s">
        <v>80</v>
      </c>
      <c r="C1066" s="8" t="str">
        <f>Gia_VLieu!C7</f>
        <v>quyển</v>
      </c>
      <c r="D1066" s="86">
        <f>Gia_VLieu!D7</f>
        <v>10000</v>
      </c>
      <c r="E1066" s="72">
        <v>4</v>
      </c>
      <c r="F1066" s="21">
        <f t="shared" si="75"/>
        <v>40000</v>
      </c>
      <c r="H1066" s="12">
        <v>1062</v>
      </c>
    </row>
    <row r="1067" spans="1:8" s="5" customFormat="1">
      <c r="A1067" s="15">
        <v>5</v>
      </c>
      <c r="B1067" s="7" t="s">
        <v>21</v>
      </c>
      <c r="C1067" s="8" t="str">
        <f>Gia_VLieu!C8</f>
        <v>cái</v>
      </c>
      <c r="D1067" s="86">
        <f>Gia_VLieu!D8</f>
        <v>2000</v>
      </c>
      <c r="E1067" s="72">
        <v>15</v>
      </c>
      <c r="F1067" s="21">
        <f t="shared" si="75"/>
        <v>30000</v>
      </c>
      <c r="H1067" s="12">
        <v>1063</v>
      </c>
    </row>
    <row r="1068" spans="1:8" s="5" customFormat="1">
      <c r="A1068" s="15">
        <v>6</v>
      </c>
      <c r="B1068" s="7" t="s">
        <v>82</v>
      </c>
      <c r="C1068" s="8" t="str">
        <f>Gia_VLieu!C9</f>
        <v>cái</v>
      </c>
      <c r="D1068" s="86">
        <f>Gia_VLieu!D9</f>
        <v>8000</v>
      </c>
      <c r="E1068" s="72">
        <v>25</v>
      </c>
      <c r="F1068" s="21">
        <f t="shared" si="75"/>
        <v>200000</v>
      </c>
      <c r="H1068" s="12">
        <v>1064</v>
      </c>
    </row>
    <row r="1069" spans="1:8" s="5" customFormat="1">
      <c r="A1069" s="15">
        <v>7</v>
      </c>
      <c r="B1069" s="7" t="s">
        <v>83</v>
      </c>
      <c r="C1069" s="8" t="str">
        <f>Gia_VLieu!C10</f>
        <v>cái</v>
      </c>
      <c r="D1069" s="86">
        <f>Gia_VLieu!D10</f>
        <v>10000</v>
      </c>
      <c r="E1069" s="72">
        <v>25</v>
      </c>
      <c r="F1069" s="21">
        <f t="shared" si="75"/>
        <v>250000</v>
      </c>
      <c r="H1069" s="12">
        <v>1065</v>
      </c>
    </row>
    <row r="1070" spans="1:8" s="5" customFormat="1">
      <c r="A1070" s="15">
        <v>8</v>
      </c>
      <c r="B1070" s="7" t="s">
        <v>84</v>
      </c>
      <c r="C1070" s="8" t="str">
        <f>Gia_VLieu!C11</f>
        <v>hộp</v>
      </c>
      <c r="D1070" s="86">
        <f>Gia_VLieu!D11</f>
        <v>2500</v>
      </c>
      <c r="E1070" s="72">
        <v>6</v>
      </c>
      <c r="F1070" s="21">
        <f t="shared" si="75"/>
        <v>15000</v>
      </c>
      <c r="H1070" s="12">
        <v>1066</v>
      </c>
    </row>
    <row r="1071" spans="1:8" s="5" customFormat="1">
      <c r="A1071" s="15">
        <v>9</v>
      </c>
      <c r="B1071" s="7" t="s">
        <v>85</v>
      </c>
      <c r="C1071" s="8" t="str">
        <f>Gia_VLieu!C12</f>
        <v>hộp</v>
      </c>
      <c r="D1071" s="86">
        <f>Gia_VLieu!D12</f>
        <v>2000</v>
      </c>
      <c r="E1071" s="72">
        <v>6</v>
      </c>
      <c r="F1071" s="21">
        <f t="shared" si="75"/>
        <v>12000</v>
      </c>
      <c r="H1071" s="12">
        <v>1067</v>
      </c>
    </row>
    <row r="1072" spans="1:8" s="5" customFormat="1">
      <c r="A1072" s="15">
        <v>10</v>
      </c>
      <c r="B1072" s="7" t="s">
        <v>86</v>
      </c>
      <c r="C1072" s="8" t="str">
        <f>Gia_VLieu!C13</f>
        <v>tập</v>
      </c>
      <c r="D1072" s="86">
        <f>Gia_VLieu!D13</f>
        <v>8000</v>
      </c>
      <c r="E1072" s="72">
        <v>4</v>
      </c>
      <c r="F1072" s="21">
        <f t="shared" si="75"/>
        <v>32000</v>
      </c>
      <c r="H1072" s="12">
        <v>1068</v>
      </c>
    </row>
    <row r="1073" spans="1:8" s="5" customFormat="1">
      <c r="A1073" s="57">
        <v>11</v>
      </c>
      <c r="B1073" s="58" t="s">
        <v>87</v>
      </c>
      <c r="C1073" s="59" t="str">
        <f>Gia_VLieu!C14</f>
        <v>cái</v>
      </c>
      <c r="D1073" s="87">
        <f>Gia_VLieu!D14</f>
        <v>15000</v>
      </c>
      <c r="E1073" s="73">
        <v>20</v>
      </c>
      <c r="F1073" s="55">
        <f>D1073*E1073</f>
        <v>300000</v>
      </c>
      <c r="H1073" s="12">
        <v>1069</v>
      </c>
    </row>
    <row r="1074" spans="1:8" s="16" customFormat="1">
      <c r="A1074" s="14" t="e">
        <f>#REF!</f>
        <v>#REF!</v>
      </c>
      <c r="B1074" s="10" t="e">
        <f>#REF!</f>
        <v>#REF!</v>
      </c>
      <c r="C1074" s="9"/>
      <c r="D1074" s="92"/>
      <c r="E1074" s="66"/>
      <c r="F1074" s="22"/>
      <c r="H1074" s="12">
        <v>1070</v>
      </c>
    </row>
    <row r="1075" spans="1:8" s="46" customFormat="1">
      <c r="A1075" s="44" t="e">
        <f>#REF!</f>
        <v>#REF!</v>
      </c>
      <c r="B1075" s="45" t="e">
        <f>#REF!</f>
        <v>#REF!</v>
      </c>
      <c r="C1075" s="20"/>
      <c r="D1075" s="90"/>
      <c r="E1075" s="63"/>
      <c r="F1075" s="23">
        <f>F1076+F1088</f>
        <v>1495500</v>
      </c>
      <c r="H1075" s="12">
        <v>1071</v>
      </c>
    </row>
    <row r="1076" spans="1:8" s="46" customFormat="1" ht="31.5">
      <c r="A1076" s="44" t="s">
        <v>64</v>
      </c>
      <c r="B1076" s="45" t="s">
        <v>90</v>
      </c>
      <c r="C1076" s="20"/>
      <c r="D1076" s="151">
        <f>Gia_VLieu!D$16</f>
        <v>1</v>
      </c>
      <c r="E1076" s="63"/>
      <c r="F1076" s="23">
        <f>SUM(F1077:F1087)*D1076</f>
        <v>916000</v>
      </c>
      <c r="H1076" s="12">
        <v>1072</v>
      </c>
    </row>
    <row r="1077" spans="1:8" s="5" customFormat="1">
      <c r="A1077" s="15">
        <v>1</v>
      </c>
      <c r="B1077" s="7" t="s">
        <v>77</v>
      </c>
      <c r="C1077" s="8" t="str">
        <f>Gia_VLieu!C4</f>
        <v>gram</v>
      </c>
      <c r="D1077" s="86">
        <f>Gia_VLieu!D4</f>
        <v>45000</v>
      </c>
      <c r="E1077" s="72">
        <v>4</v>
      </c>
      <c r="F1077" s="21">
        <f>D1077*E1077</f>
        <v>180000</v>
      </c>
      <c r="H1077" s="12">
        <v>1073</v>
      </c>
    </row>
    <row r="1078" spans="1:8" s="5" customFormat="1">
      <c r="A1078" s="15">
        <v>2</v>
      </c>
      <c r="B1078" s="7" t="s">
        <v>78</v>
      </c>
      <c r="C1078" s="8" t="str">
        <f>Gia_VLieu!C5</f>
        <v>hộp</v>
      </c>
      <c r="D1078" s="86">
        <f>Gia_VLieu!D5</f>
        <v>1450000</v>
      </c>
      <c r="E1078" s="72">
        <v>0.2</v>
      </c>
      <c r="F1078" s="21">
        <f t="shared" ref="F1078:F1086" si="76">D1078*E1078</f>
        <v>290000</v>
      </c>
      <c r="H1078" s="12">
        <v>1074</v>
      </c>
    </row>
    <row r="1079" spans="1:8" s="5" customFormat="1">
      <c r="A1079" s="15">
        <v>3</v>
      </c>
      <c r="B1079" s="7" t="s">
        <v>79</v>
      </c>
      <c r="C1079" s="8" t="str">
        <f>Gia_VLieu!C6</f>
        <v>hộp</v>
      </c>
      <c r="D1079" s="86">
        <f>Gia_VLieu!D6</f>
        <v>250000</v>
      </c>
      <c r="E1079" s="72">
        <v>0.1</v>
      </c>
      <c r="F1079" s="21">
        <f t="shared" si="76"/>
        <v>25000</v>
      </c>
      <c r="H1079" s="12">
        <v>1075</v>
      </c>
    </row>
    <row r="1080" spans="1:8" s="5" customFormat="1">
      <c r="A1080" s="15">
        <v>4</v>
      </c>
      <c r="B1080" s="7" t="s">
        <v>80</v>
      </c>
      <c r="C1080" s="8" t="str">
        <f>Gia_VLieu!C7</f>
        <v>quyển</v>
      </c>
      <c r="D1080" s="86">
        <f>Gia_VLieu!D7</f>
        <v>10000</v>
      </c>
      <c r="E1080" s="72">
        <v>14</v>
      </c>
      <c r="F1080" s="21">
        <f t="shared" si="76"/>
        <v>140000</v>
      </c>
      <c r="H1080" s="12">
        <v>1076</v>
      </c>
    </row>
    <row r="1081" spans="1:8" s="5" customFormat="1">
      <c r="A1081" s="15">
        <v>5</v>
      </c>
      <c r="B1081" s="7" t="s">
        <v>21</v>
      </c>
      <c r="C1081" s="8" t="str">
        <f>Gia_VLieu!C8</f>
        <v>cái</v>
      </c>
      <c r="D1081" s="86">
        <f>Gia_VLieu!D8</f>
        <v>2000</v>
      </c>
      <c r="E1081" s="72">
        <v>20</v>
      </c>
      <c r="F1081" s="21">
        <f t="shared" si="76"/>
        <v>40000</v>
      </c>
      <c r="H1081" s="12">
        <v>1077</v>
      </c>
    </row>
    <row r="1082" spans="1:8" s="5" customFormat="1">
      <c r="A1082" s="15">
        <v>6</v>
      </c>
      <c r="B1082" s="7" t="s">
        <v>82</v>
      </c>
      <c r="C1082" s="8" t="str">
        <f>Gia_VLieu!C9</f>
        <v>cái</v>
      </c>
      <c r="D1082" s="86">
        <f>Gia_VLieu!D9</f>
        <v>8000</v>
      </c>
      <c r="E1082" s="72">
        <v>5</v>
      </c>
      <c r="F1082" s="21">
        <f t="shared" si="76"/>
        <v>40000</v>
      </c>
      <c r="H1082" s="12">
        <v>1078</v>
      </c>
    </row>
    <row r="1083" spans="1:8" s="5" customFormat="1">
      <c r="A1083" s="15">
        <v>7</v>
      </c>
      <c r="B1083" s="7" t="s">
        <v>83</v>
      </c>
      <c r="C1083" s="8" t="str">
        <f>Gia_VLieu!C10</f>
        <v>cái</v>
      </c>
      <c r="D1083" s="86">
        <f>Gia_VLieu!D10</f>
        <v>10000</v>
      </c>
      <c r="E1083" s="72">
        <v>4</v>
      </c>
      <c r="F1083" s="21">
        <f t="shared" si="76"/>
        <v>40000</v>
      </c>
      <c r="H1083" s="12">
        <v>1079</v>
      </c>
    </row>
    <row r="1084" spans="1:8" s="5" customFormat="1">
      <c r="A1084" s="15">
        <v>8</v>
      </c>
      <c r="B1084" s="7" t="s">
        <v>84</v>
      </c>
      <c r="C1084" s="8" t="str">
        <f>Gia_VLieu!C11</f>
        <v>hộp</v>
      </c>
      <c r="D1084" s="86">
        <f>Gia_VLieu!D11</f>
        <v>2500</v>
      </c>
      <c r="E1084" s="72">
        <v>2</v>
      </c>
      <c r="F1084" s="21">
        <f t="shared" si="76"/>
        <v>5000</v>
      </c>
      <c r="H1084" s="12">
        <v>1080</v>
      </c>
    </row>
    <row r="1085" spans="1:8" s="5" customFormat="1">
      <c r="A1085" s="15">
        <v>9</v>
      </c>
      <c r="B1085" s="7" t="s">
        <v>85</v>
      </c>
      <c r="C1085" s="8" t="str">
        <f>Gia_VLieu!C12</f>
        <v>hộp</v>
      </c>
      <c r="D1085" s="86">
        <f>Gia_VLieu!D12</f>
        <v>2000</v>
      </c>
      <c r="E1085" s="72">
        <v>2</v>
      </c>
      <c r="F1085" s="21">
        <f t="shared" si="76"/>
        <v>4000</v>
      </c>
      <c r="H1085" s="12">
        <v>1081</v>
      </c>
    </row>
    <row r="1086" spans="1:8" s="5" customFormat="1">
      <c r="A1086" s="15">
        <v>10</v>
      </c>
      <c r="B1086" s="7" t="s">
        <v>86</v>
      </c>
      <c r="C1086" s="8" t="str">
        <f>Gia_VLieu!C13</f>
        <v>tập</v>
      </c>
      <c r="D1086" s="86">
        <f>Gia_VLieu!D13</f>
        <v>8000</v>
      </c>
      <c r="E1086" s="72">
        <v>4</v>
      </c>
      <c r="F1086" s="21">
        <f t="shared" si="76"/>
        <v>32000</v>
      </c>
      <c r="H1086" s="12">
        <v>1082</v>
      </c>
    </row>
    <row r="1087" spans="1:8" s="5" customFormat="1">
      <c r="A1087" s="57">
        <v>11</v>
      </c>
      <c r="B1087" s="58" t="s">
        <v>87</v>
      </c>
      <c r="C1087" s="59" t="str">
        <f>Gia_VLieu!C14</f>
        <v>cái</v>
      </c>
      <c r="D1087" s="87">
        <f>Gia_VLieu!D14</f>
        <v>15000</v>
      </c>
      <c r="E1087" s="73">
        <v>8</v>
      </c>
      <c r="F1087" s="55">
        <f>D1087*E1087</f>
        <v>120000</v>
      </c>
      <c r="H1087" s="12">
        <v>1083</v>
      </c>
    </row>
    <row r="1088" spans="1:8" s="46" customFormat="1" ht="31.5">
      <c r="A1088" s="44" t="s">
        <v>65</v>
      </c>
      <c r="B1088" s="45" t="s">
        <v>92</v>
      </c>
      <c r="C1088" s="20"/>
      <c r="D1088" s="151">
        <f>Gia_VLieu!D$16</f>
        <v>1</v>
      </c>
      <c r="E1088" s="63"/>
      <c r="F1088" s="23">
        <f>SUM(F1089:F1099)*D1088</f>
        <v>579500</v>
      </c>
      <c r="H1088" s="12">
        <v>1084</v>
      </c>
    </row>
    <row r="1089" spans="1:8" s="5" customFormat="1">
      <c r="A1089" s="15">
        <v>1</v>
      </c>
      <c r="B1089" s="7" t="s">
        <v>77</v>
      </c>
      <c r="C1089" s="8" t="str">
        <f>Gia_VLieu!C4</f>
        <v>gram</v>
      </c>
      <c r="D1089" s="86">
        <f>Gia_VLieu!D4</f>
        <v>45000</v>
      </c>
      <c r="E1089" s="72">
        <v>2</v>
      </c>
      <c r="F1089" s="21">
        <f>D1089*E1089</f>
        <v>90000</v>
      </c>
      <c r="H1089" s="12">
        <v>1085</v>
      </c>
    </row>
    <row r="1090" spans="1:8" s="5" customFormat="1">
      <c r="A1090" s="15">
        <v>2</v>
      </c>
      <c r="B1090" s="7" t="s">
        <v>78</v>
      </c>
      <c r="C1090" s="8" t="str">
        <f>Gia_VLieu!C5</f>
        <v>hộp</v>
      </c>
      <c r="D1090" s="86">
        <f>Gia_VLieu!D5</f>
        <v>1450000</v>
      </c>
      <c r="E1090" s="72">
        <v>0.1</v>
      </c>
      <c r="F1090" s="21">
        <f t="shared" ref="F1090:F1098" si="77">D1090*E1090</f>
        <v>145000</v>
      </c>
      <c r="H1090" s="12">
        <v>1086</v>
      </c>
    </row>
    <row r="1091" spans="1:8" s="5" customFormat="1">
      <c r="A1091" s="15">
        <v>3</v>
      </c>
      <c r="B1091" s="7" t="s">
        <v>79</v>
      </c>
      <c r="C1091" s="8" t="str">
        <f>Gia_VLieu!C6</f>
        <v>hộp</v>
      </c>
      <c r="D1091" s="86">
        <f>Gia_VLieu!D6</f>
        <v>250000</v>
      </c>
      <c r="E1091" s="72">
        <v>0.1</v>
      </c>
      <c r="F1091" s="21">
        <f t="shared" si="77"/>
        <v>25000</v>
      </c>
      <c r="H1091" s="12">
        <v>1087</v>
      </c>
    </row>
    <row r="1092" spans="1:8" s="5" customFormat="1">
      <c r="A1092" s="15">
        <v>4</v>
      </c>
      <c r="B1092" s="7" t="s">
        <v>80</v>
      </c>
      <c r="C1092" s="8" t="str">
        <f>Gia_VLieu!C7</f>
        <v>quyển</v>
      </c>
      <c r="D1092" s="86">
        <f>Gia_VLieu!D7</f>
        <v>10000</v>
      </c>
      <c r="E1092" s="72">
        <v>10</v>
      </c>
      <c r="F1092" s="21">
        <f t="shared" si="77"/>
        <v>100000</v>
      </c>
      <c r="H1092" s="12">
        <v>1088</v>
      </c>
    </row>
    <row r="1093" spans="1:8" s="5" customFormat="1">
      <c r="A1093" s="15">
        <v>5</v>
      </c>
      <c r="B1093" s="7" t="s">
        <v>21</v>
      </c>
      <c r="C1093" s="8" t="str">
        <f>Gia_VLieu!C8</f>
        <v>cái</v>
      </c>
      <c r="D1093" s="86">
        <f>Gia_VLieu!D8</f>
        <v>2000</v>
      </c>
      <c r="E1093" s="72">
        <v>15</v>
      </c>
      <c r="F1093" s="21">
        <f t="shared" si="77"/>
        <v>30000</v>
      </c>
      <c r="H1093" s="12">
        <v>1089</v>
      </c>
    </row>
    <row r="1094" spans="1:8" s="5" customFormat="1">
      <c r="A1094" s="15">
        <v>6</v>
      </c>
      <c r="B1094" s="7" t="s">
        <v>82</v>
      </c>
      <c r="C1094" s="8" t="str">
        <f>Gia_VLieu!C9</f>
        <v>cái</v>
      </c>
      <c r="D1094" s="86">
        <f>Gia_VLieu!D9</f>
        <v>8000</v>
      </c>
      <c r="E1094" s="72">
        <v>4</v>
      </c>
      <c r="F1094" s="21">
        <f t="shared" si="77"/>
        <v>32000</v>
      </c>
      <c r="H1094" s="12">
        <v>1090</v>
      </c>
    </row>
    <row r="1095" spans="1:8" s="5" customFormat="1">
      <c r="A1095" s="15">
        <v>7</v>
      </c>
      <c r="B1095" s="7" t="s">
        <v>83</v>
      </c>
      <c r="C1095" s="8" t="str">
        <f>Gia_VLieu!C10</f>
        <v>cái</v>
      </c>
      <c r="D1095" s="86">
        <f>Gia_VLieu!D10</f>
        <v>10000</v>
      </c>
      <c r="E1095" s="72">
        <v>4</v>
      </c>
      <c r="F1095" s="21">
        <f t="shared" si="77"/>
        <v>40000</v>
      </c>
      <c r="H1095" s="12">
        <v>1091</v>
      </c>
    </row>
    <row r="1096" spans="1:8" s="5" customFormat="1">
      <c r="A1096" s="15">
        <v>8</v>
      </c>
      <c r="B1096" s="7" t="s">
        <v>84</v>
      </c>
      <c r="C1096" s="8" t="str">
        <f>Gia_VLieu!C11</f>
        <v>hộp</v>
      </c>
      <c r="D1096" s="86">
        <f>Gia_VLieu!D11</f>
        <v>2500</v>
      </c>
      <c r="E1096" s="72">
        <v>3</v>
      </c>
      <c r="F1096" s="21">
        <f t="shared" si="77"/>
        <v>7500</v>
      </c>
      <c r="H1096" s="12">
        <v>1092</v>
      </c>
    </row>
    <row r="1097" spans="1:8" s="5" customFormat="1">
      <c r="A1097" s="15">
        <v>9</v>
      </c>
      <c r="B1097" s="7" t="s">
        <v>85</v>
      </c>
      <c r="C1097" s="8" t="str">
        <f>Gia_VLieu!C12</f>
        <v>hộp</v>
      </c>
      <c r="D1097" s="86">
        <f>Gia_VLieu!D12</f>
        <v>2000</v>
      </c>
      <c r="E1097" s="72">
        <v>2</v>
      </c>
      <c r="F1097" s="21">
        <f t="shared" si="77"/>
        <v>4000</v>
      </c>
      <c r="H1097" s="12">
        <v>1093</v>
      </c>
    </row>
    <row r="1098" spans="1:8" s="5" customFormat="1">
      <c r="A1098" s="15">
        <v>10</v>
      </c>
      <c r="B1098" s="7" t="s">
        <v>86</v>
      </c>
      <c r="C1098" s="8" t="str">
        <f>Gia_VLieu!C13</f>
        <v>tập</v>
      </c>
      <c r="D1098" s="86">
        <f>Gia_VLieu!D13</f>
        <v>8000</v>
      </c>
      <c r="E1098" s="72">
        <v>2</v>
      </c>
      <c r="F1098" s="21">
        <f t="shared" si="77"/>
        <v>16000</v>
      </c>
      <c r="H1098" s="12">
        <v>1094</v>
      </c>
    </row>
    <row r="1099" spans="1:8" s="5" customFormat="1">
      <c r="A1099" s="57">
        <v>11</v>
      </c>
      <c r="B1099" s="58" t="s">
        <v>87</v>
      </c>
      <c r="C1099" s="59" t="str">
        <f>Gia_VLieu!C14</f>
        <v>cái</v>
      </c>
      <c r="D1099" s="87">
        <f>Gia_VLieu!D14</f>
        <v>15000</v>
      </c>
      <c r="E1099" s="73">
        <v>6</v>
      </c>
      <c r="F1099" s="55">
        <f>D1099*E1099</f>
        <v>90000</v>
      </c>
      <c r="H1099" s="12">
        <v>1095</v>
      </c>
    </row>
    <row r="1100" spans="1:8" s="46" customFormat="1">
      <c r="A1100" s="44" t="e">
        <f>#REF!</f>
        <v>#REF!</v>
      </c>
      <c r="B1100" s="45" t="e">
        <f>#REF!</f>
        <v>#REF!</v>
      </c>
      <c r="C1100" s="20"/>
      <c r="D1100" s="90"/>
      <c r="E1100" s="63"/>
      <c r="F1100" s="23">
        <f>F1102</f>
        <v>886000</v>
      </c>
      <c r="H1100" s="12">
        <v>1096</v>
      </c>
    </row>
    <row r="1101" spans="1:8" s="5" customFormat="1">
      <c r="A1101" s="15" t="e">
        <f>#REF!</f>
        <v>#REF!</v>
      </c>
      <c r="B1101" s="7" t="e">
        <f>#REF!</f>
        <v>#REF!</v>
      </c>
      <c r="C1101" s="8"/>
      <c r="D1101" s="86"/>
      <c r="E1101" s="43"/>
      <c r="F1101" s="21">
        <f>F1102</f>
        <v>886000</v>
      </c>
      <c r="H1101" s="12">
        <v>1097</v>
      </c>
    </row>
    <row r="1102" spans="1:8" s="5" customFormat="1">
      <c r="A1102" s="15" t="e">
        <f>#REF!</f>
        <v>#REF!</v>
      </c>
      <c r="B1102" s="7" t="e">
        <f>#REF!</f>
        <v>#REF!</v>
      </c>
      <c r="C1102" s="8"/>
      <c r="D1102" s="151">
        <f>Gia_VLieu!D$16</f>
        <v>1</v>
      </c>
      <c r="E1102" s="63"/>
      <c r="F1102" s="23">
        <f>SUM(F1103:F1113)*D1102</f>
        <v>886000</v>
      </c>
      <c r="H1102" s="12">
        <v>1098</v>
      </c>
    </row>
    <row r="1103" spans="1:8" s="5" customFormat="1">
      <c r="A1103" s="15">
        <v>1</v>
      </c>
      <c r="B1103" s="7" t="s">
        <v>77</v>
      </c>
      <c r="C1103" s="8" t="str">
        <f>Gia_VLieu!C4</f>
        <v>gram</v>
      </c>
      <c r="D1103" s="86">
        <f>Gia_VLieu!D4</f>
        <v>45000</v>
      </c>
      <c r="E1103" s="72">
        <v>4</v>
      </c>
      <c r="F1103" s="21">
        <f>D1103*E1103</f>
        <v>180000</v>
      </c>
      <c r="H1103" s="12">
        <v>1099</v>
      </c>
    </row>
    <row r="1104" spans="1:8" s="5" customFormat="1">
      <c r="A1104" s="15">
        <v>2</v>
      </c>
      <c r="B1104" s="7" t="s">
        <v>78</v>
      </c>
      <c r="C1104" s="8" t="str">
        <f>Gia_VLieu!C5</f>
        <v>hộp</v>
      </c>
      <c r="D1104" s="86">
        <f>Gia_VLieu!D5</f>
        <v>1450000</v>
      </c>
      <c r="E1104" s="72">
        <v>0.2</v>
      </c>
      <c r="F1104" s="21">
        <f t="shared" ref="F1104:F1112" si="78">D1104*E1104</f>
        <v>290000</v>
      </c>
      <c r="H1104" s="12">
        <v>1100</v>
      </c>
    </row>
    <row r="1105" spans="1:8" s="5" customFormat="1">
      <c r="A1105" s="15">
        <v>3</v>
      </c>
      <c r="B1105" s="7" t="s">
        <v>79</v>
      </c>
      <c r="C1105" s="8" t="str">
        <f>Gia_VLieu!C6</f>
        <v>hộp</v>
      </c>
      <c r="D1105" s="86">
        <f>Gia_VLieu!D6</f>
        <v>250000</v>
      </c>
      <c r="E1105" s="72">
        <v>0.15</v>
      </c>
      <c r="F1105" s="21">
        <f t="shared" si="78"/>
        <v>37500</v>
      </c>
      <c r="H1105" s="12">
        <v>1101</v>
      </c>
    </row>
    <row r="1106" spans="1:8" s="5" customFormat="1">
      <c r="A1106" s="15">
        <v>4</v>
      </c>
      <c r="B1106" s="7" t="s">
        <v>80</v>
      </c>
      <c r="C1106" s="8" t="str">
        <f>Gia_VLieu!C7</f>
        <v>quyển</v>
      </c>
      <c r="D1106" s="86">
        <f>Gia_VLieu!D7</f>
        <v>10000</v>
      </c>
      <c r="E1106" s="72">
        <v>10</v>
      </c>
      <c r="F1106" s="21">
        <f t="shared" si="78"/>
        <v>100000</v>
      </c>
      <c r="H1106" s="12">
        <v>1102</v>
      </c>
    </row>
    <row r="1107" spans="1:8" s="5" customFormat="1">
      <c r="A1107" s="15">
        <v>5</v>
      </c>
      <c r="B1107" s="7" t="s">
        <v>21</v>
      </c>
      <c r="C1107" s="8" t="str">
        <f>Gia_VLieu!C8</f>
        <v>cái</v>
      </c>
      <c r="D1107" s="86">
        <f>Gia_VLieu!D8</f>
        <v>2000</v>
      </c>
      <c r="E1107" s="72">
        <v>17</v>
      </c>
      <c r="F1107" s="21">
        <f t="shared" si="78"/>
        <v>34000</v>
      </c>
      <c r="H1107" s="12">
        <v>1103</v>
      </c>
    </row>
    <row r="1108" spans="1:8" s="5" customFormat="1">
      <c r="A1108" s="15">
        <v>6</v>
      </c>
      <c r="B1108" s="7" t="s">
        <v>82</v>
      </c>
      <c r="C1108" s="8" t="str">
        <f>Gia_VLieu!C9</f>
        <v>cái</v>
      </c>
      <c r="D1108" s="86">
        <f>Gia_VLieu!D9</f>
        <v>8000</v>
      </c>
      <c r="E1108" s="72">
        <v>4</v>
      </c>
      <c r="F1108" s="21">
        <f t="shared" si="78"/>
        <v>32000</v>
      </c>
      <c r="H1108" s="12">
        <v>1104</v>
      </c>
    </row>
    <row r="1109" spans="1:8" s="5" customFormat="1">
      <c r="A1109" s="15">
        <v>7</v>
      </c>
      <c r="B1109" s="7" t="s">
        <v>83</v>
      </c>
      <c r="C1109" s="8" t="str">
        <f>Gia_VLieu!C10</f>
        <v>cái</v>
      </c>
      <c r="D1109" s="86">
        <f>Gia_VLieu!D10</f>
        <v>10000</v>
      </c>
      <c r="E1109" s="72">
        <v>4</v>
      </c>
      <c r="F1109" s="21">
        <f t="shared" si="78"/>
        <v>40000</v>
      </c>
      <c r="H1109" s="12">
        <v>1105</v>
      </c>
    </row>
    <row r="1110" spans="1:8" s="5" customFormat="1">
      <c r="A1110" s="15">
        <v>8</v>
      </c>
      <c r="B1110" s="7" t="s">
        <v>84</v>
      </c>
      <c r="C1110" s="8" t="str">
        <f>Gia_VLieu!C11</f>
        <v>hộp</v>
      </c>
      <c r="D1110" s="86">
        <f>Gia_VLieu!D11</f>
        <v>2500</v>
      </c>
      <c r="E1110" s="72">
        <v>3</v>
      </c>
      <c r="F1110" s="21">
        <f t="shared" si="78"/>
        <v>7500</v>
      </c>
      <c r="H1110" s="12">
        <v>1106</v>
      </c>
    </row>
    <row r="1111" spans="1:8" s="5" customFormat="1">
      <c r="A1111" s="15">
        <v>9</v>
      </c>
      <c r="B1111" s="7" t="s">
        <v>85</v>
      </c>
      <c r="C1111" s="8" t="str">
        <f>Gia_VLieu!C12</f>
        <v>hộp</v>
      </c>
      <c r="D1111" s="86">
        <f>Gia_VLieu!D12</f>
        <v>2000</v>
      </c>
      <c r="E1111" s="72">
        <v>3</v>
      </c>
      <c r="F1111" s="21">
        <f t="shared" si="78"/>
        <v>6000</v>
      </c>
      <c r="H1111" s="12">
        <v>1107</v>
      </c>
    </row>
    <row r="1112" spans="1:8" s="5" customFormat="1">
      <c r="A1112" s="15">
        <v>10</v>
      </c>
      <c r="B1112" s="7" t="s">
        <v>86</v>
      </c>
      <c r="C1112" s="8" t="str">
        <f>Gia_VLieu!C13</f>
        <v>tập</v>
      </c>
      <c r="D1112" s="86">
        <f>Gia_VLieu!D13</f>
        <v>8000</v>
      </c>
      <c r="E1112" s="72">
        <v>3</v>
      </c>
      <c r="F1112" s="21">
        <f t="shared" si="78"/>
        <v>24000</v>
      </c>
      <c r="H1112" s="12">
        <v>1108</v>
      </c>
    </row>
    <row r="1113" spans="1:8" s="5" customFormat="1">
      <c r="A1113" s="57">
        <v>11</v>
      </c>
      <c r="B1113" s="58" t="s">
        <v>87</v>
      </c>
      <c r="C1113" s="59" t="str">
        <f>Gia_VLieu!C14</f>
        <v>cái</v>
      </c>
      <c r="D1113" s="87">
        <f>Gia_VLieu!D14</f>
        <v>15000</v>
      </c>
      <c r="E1113" s="73">
        <v>9</v>
      </c>
      <c r="F1113" s="55">
        <f>D1113*E1113</f>
        <v>135000</v>
      </c>
      <c r="H1113" s="12">
        <v>1109</v>
      </c>
    </row>
    <row r="1114" spans="1:8" s="46" customFormat="1">
      <c r="A1114" s="44" t="e">
        <f>#REF!</f>
        <v>#REF!</v>
      </c>
      <c r="B1114" s="45" t="e">
        <f>#REF!</f>
        <v>#REF!</v>
      </c>
      <c r="C1114" s="20"/>
      <c r="D1114" s="90"/>
      <c r="E1114" s="63"/>
      <c r="F1114" s="23">
        <f>F1115+F1127</f>
        <v>1504000</v>
      </c>
      <c r="H1114" s="12">
        <v>1110</v>
      </c>
    </row>
    <row r="1115" spans="1:8" s="46" customFormat="1" ht="31.5">
      <c r="A1115" s="44" t="s">
        <v>62</v>
      </c>
      <c r="B1115" s="45" t="s">
        <v>66</v>
      </c>
      <c r="C1115" s="20"/>
      <c r="D1115" s="151">
        <f>Gia_VLieu!D$16</f>
        <v>1</v>
      </c>
      <c r="E1115" s="63"/>
      <c r="F1115" s="23">
        <f>SUM(F1116:F1126)*D1115</f>
        <v>840000</v>
      </c>
      <c r="H1115" s="12">
        <v>1111</v>
      </c>
    </row>
    <row r="1116" spans="1:8" s="5" customFormat="1">
      <c r="A1116" s="15">
        <v>1</v>
      </c>
      <c r="B1116" s="7" t="s">
        <v>77</v>
      </c>
      <c r="C1116" s="8" t="str">
        <f>Gia_VLieu!C4</f>
        <v>gram</v>
      </c>
      <c r="D1116" s="86">
        <f>Gia_VLieu!D4</f>
        <v>45000</v>
      </c>
      <c r="E1116" s="72">
        <v>3</v>
      </c>
      <c r="F1116" s="21">
        <f>D1116*E1116</f>
        <v>135000</v>
      </c>
      <c r="H1116" s="12">
        <v>1112</v>
      </c>
    </row>
    <row r="1117" spans="1:8" s="5" customFormat="1">
      <c r="A1117" s="15">
        <v>2</v>
      </c>
      <c r="B1117" s="7" t="s">
        <v>78</v>
      </c>
      <c r="C1117" s="8" t="str">
        <f>Gia_VLieu!C5</f>
        <v>hộp</v>
      </c>
      <c r="D1117" s="86">
        <f>Gia_VLieu!D5</f>
        <v>1450000</v>
      </c>
      <c r="E1117" s="72">
        <v>0.16</v>
      </c>
      <c r="F1117" s="21">
        <f t="shared" ref="F1117:F1125" si="79">D1117*E1117</f>
        <v>232000</v>
      </c>
      <c r="H1117" s="12">
        <v>1113</v>
      </c>
    </row>
    <row r="1118" spans="1:8" s="5" customFormat="1">
      <c r="A1118" s="15">
        <v>3</v>
      </c>
      <c r="B1118" s="7" t="s">
        <v>79</v>
      </c>
      <c r="C1118" s="8" t="str">
        <f>Gia_VLieu!C6</f>
        <v>hộp</v>
      </c>
      <c r="D1118" s="86">
        <f>Gia_VLieu!D6</f>
        <v>250000</v>
      </c>
      <c r="E1118" s="72">
        <v>0.15</v>
      </c>
      <c r="F1118" s="21">
        <f t="shared" si="79"/>
        <v>37500</v>
      </c>
      <c r="H1118" s="12">
        <v>1114</v>
      </c>
    </row>
    <row r="1119" spans="1:8" s="5" customFormat="1">
      <c r="A1119" s="15">
        <v>4</v>
      </c>
      <c r="B1119" s="7" t="s">
        <v>80</v>
      </c>
      <c r="C1119" s="8" t="str">
        <f>Gia_VLieu!C7</f>
        <v>quyển</v>
      </c>
      <c r="D1119" s="86">
        <f>Gia_VLieu!D7</f>
        <v>10000</v>
      </c>
      <c r="E1119" s="72">
        <v>12</v>
      </c>
      <c r="F1119" s="21">
        <f t="shared" si="79"/>
        <v>120000</v>
      </c>
      <c r="H1119" s="12">
        <v>1115</v>
      </c>
    </row>
    <row r="1120" spans="1:8" s="5" customFormat="1">
      <c r="A1120" s="15">
        <v>5</v>
      </c>
      <c r="B1120" s="7" t="s">
        <v>21</v>
      </c>
      <c r="C1120" s="8" t="str">
        <f>Gia_VLieu!C8</f>
        <v>cái</v>
      </c>
      <c r="D1120" s="86">
        <f>Gia_VLieu!D8</f>
        <v>2000</v>
      </c>
      <c r="E1120" s="72">
        <v>20</v>
      </c>
      <c r="F1120" s="21">
        <f t="shared" si="79"/>
        <v>40000</v>
      </c>
      <c r="H1120" s="12">
        <v>1116</v>
      </c>
    </row>
    <row r="1121" spans="1:8" s="5" customFormat="1">
      <c r="A1121" s="15">
        <v>6</v>
      </c>
      <c r="B1121" s="7" t="s">
        <v>82</v>
      </c>
      <c r="C1121" s="8" t="str">
        <f>Gia_VLieu!C9</f>
        <v>cái</v>
      </c>
      <c r="D1121" s="86">
        <f>Gia_VLieu!D9</f>
        <v>8000</v>
      </c>
      <c r="E1121" s="72">
        <v>5</v>
      </c>
      <c r="F1121" s="21">
        <f t="shared" si="79"/>
        <v>40000</v>
      </c>
      <c r="H1121" s="12">
        <v>1117</v>
      </c>
    </row>
    <row r="1122" spans="1:8" s="5" customFormat="1">
      <c r="A1122" s="15">
        <v>7</v>
      </c>
      <c r="B1122" s="7" t="s">
        <v>83</v>
      </c>
      <c r="C1122" s="8" t="str">
        <f>Gia_VLieu!C10</f>
        <v>cái</v>
      </c>
      <c r="D1122" s="86">
        <f>Gia_VLieu!D10</f>
        <v>10000</v>
      </c>
      <c r="E1122" s="72">
        <v>4</v>
      </c>
      <c r="F1122" s="21">
        <f t="shared" si="79"/>
        <v>40000</v>
      </c>
      <c r="H1122" s="12">
        <v>1118</v>
      </c>
    </row>
    <row r="1123" spans="1:8" s="5" customFormat="1">
      <c r="A1123" s="15">
        <v>8</v>
      </c>
      <c r="B1123" s="7" t="s">
        <v>84</v>
      </c>
      <c r="C1123" s="8" t="str">
        <f>Gia_VLieu!C11</f>
        <v>hộp</v>
      </c>
      <c r="D1123" s="86">
        <f>Gia_VLieu!D11</f>
        <v>2500</v>
      </c>
      <c r="E1123" s="72">
        <v>3</v>
      </c>
      <c r="F1123" s="21">
        <f t="shared" si="79"/>
        <v>7500</v>
      </c>
      <c r="H1123" s="12">
        <v>1119</v>
      </c>
    </row>
    <row r="1124" spans="1:8" s="5" customFormat="1">
      <c r="A1124" s="15">
        <v>9</v>
      </c>
      <c r="B1124" s="7" t="s">
        <v>85</v>
      </c>
      <c r="C1124" s="8" t="str">
        <f>Gia_VLieu!C12</f>
        <v>hộp</v>
      </c>
      <c r="D1124" s="86">
        <f>Gia_VLieu!D12</f>
        <v>2000</v>
      </c>
      <c r="E1124" s="72">
        <v>3</v>
      </c>
      <c r="F1124" s="21">
        <f t="shared" si="79"/>
        <v>6000</v>
      </c>
      <c r="H1124" s="12">
        <v>1120</v>
      </c>
    </row>
    <row r="1125" spans="1:8" s="5" customFormat="1">
      <c r="A1125" s="15">
        <v>10</v>
      </c>
      <c r="B1125" s="7" t="s">
        <v>86</v>
      </c>
      <c r="C1125" s="8" t="str">
        <f>Gia_VLieu!C13</f>
        <v>tập</v>
      </c>
      <c r="D1125" s="86">
        <f>Gia_VLieu!D13</f>
        <v>8000</v>
      </c>
      <c r="E1125" s="72">
        <v>4</v>
      </c>
      <c r="F1125" s="21">
        <f t="shared" si="79"/>
        <v>32000</v>
      </c>
      <c r="H1125" s="12">
        <v>1121</v>
      </c>
    </row>
    <row r="1126" spans="1:8" s="5" customFormat="1">
      <c r="A1126" s="57">
        <v>11</v>
      </c>
      <c r="B1126" s="58" t="s">
        <v>87</v>
      </c>
      <c r="C1126" s="59" t="str">
        <f>Gia_VLieu!C14</f>
        <v>cái</v>
      </c>
      <c r="D1126" s="87">
        <f>Gia_VLieu!D14</f>
        <v>15000</v>
      </c>
      <c r="E1126" s="73">
        <v>10</v>
      </c>
      <c r="F1126" s="55">
        <f>D1126*E1126</f>
        <v>150000</v>
      </c>
      <c r="H1126" s="12">
        <v>1122</v>
      </c>
    </row>
    <row r="1127" spans="1:8" s="46" customFormat="1" ht="47.25">
      <c r="A1127" s="44" t="s">
        <v>91</v>
      </c>
      <c r="B1127" s="45" t="s">
        <v>93</v>
      </c>
      <c r="C1127" s="20"/>
      <c r="D1127" s="151">
        <f>Gia_VLieu!D$16</f>
        <v>1</v>
      </c>
      <c r="E1127" s="63"/>
      <c r="F1127" s="23">
        <f>SUM(F1128:F1138)*D1127</f>
        <v>664000</v>
      </c>
      <c r="H1127" s="12">
        <v>1123</v>
      </c>
    </row>
    <row r="1128" spans="1:8" s="5" customFormat="1">
      <c r="A1128" s="15">
        <v>1</v>
      </c>
      <c r="B1128" s="7" t="s">
        <v>77</v>
      </c>
      <c r="C1128" s="8" t="str">
        <f>Gia_VLieu!C4</f>
        <v>gram</v>
      </c>
      <c r="D1128" s="86">
        <f>Gia_VLieu!D4</f>
        <v>45000</v>
      </c>
      <c r="E1128" s="72">
        <v>1</v>
      </c>
      <c r="F1128" s="21">
        <f>D1128*E1128</f>
        <v>45000</v>
      </c>
      <c r="H1128" s="12">
        <v>1124</v>
      </c>
    </row>
    <row r="1129" spans="1:8" s="5" customFormat="1">
      <c r="A1129" s="15">
        <v>2</v>
      </c>
      <c r="B1129" s="7" t="s">
        <v>78</v>
      </c>
      <c r="C1129" s="8" t="str">
        <f>Gia_VLieu!C5</f>
        <v>hộp</v>
      </c>
      <c r="D1129" s="86">
        <f>Gia_VLieu!D5</f>
        <v>1450000</v>
      </c>
      <c r="E1129" s="72">
        <v>0.05</v>
      </c>
      <c r="F1129" s="21">
        <f t="shared" ref="F1129:F1137" si="80">D1129*E1129</f>
        <v>72500</v>
      </c>
      <c r="H1129" s="12">
        <v>1125</v>
      </c>
    </row>
    <row r="1130" spans="1:8" s="5" customFormat="1">
      <c r="A1130" s="15">
        <v>3</v>
      </c>
      <c r="B1130" s="7" t="s">
        <v>79</v>
      </c>
      <c r="C1130" s="8" t="str">
        <f>Gia_VLieu!C6</f>
        <v>hộp</v>
      </c>
      <c r="D1130" s="86">
        <f>Gia_VLieu!D6</f>
        <v>250000</v>
      </c>
      <c r="E1130" s="72">
        <v>0.05</v>
      </c>
      <c r="F1130" s="21">
        <f t="shared" si="80"/>
        <v>12500</v>
      </c>
      <c r="H1130" s="12">
        <v>1126</v>
      </c>
    </row>
    <row r="1131" spans="1:8" s="5" customFormat="1">
      <c r="A1131" s="15">
        <v>4</v>
      </c>
      <c r="B1131" s="7" t="s">
        <v>80</v>
      </c>
      <c r="C1131" s="8" t="str">
        <f>Gia_VLieu!C7</f>
        <v>quyển</v>
      </c>
      <c r="D1131" s="86">
        <f>Gia_VLieu!D7</f>
        <v>10000</v>
      </c>
      <c r="E1131" s="72">
        <v>18</v>
      </c>
      <c r="F1131" s="21">
        <f t="shared" si="80"/>
        <v>180000</v>
      </c>
      <c r="H1131" s="12">
        <v>1127</v>
      </c>
    </row>
    <row r="1132" spans="1:8" s="5" customFormat="1">
      <c r="A1132" s="15">
        <v>5</v>
      </c>
      <c r="B1132" s="7" t="s">
        <v>21</v>
      </c>
      <c r="C1132" s="8" t="str">
        <f>Gia_VLieu!C8</f>
        <v>cái</v>
      </c>
      <c r="D1132" s="86">
        <f>Gia_VLieu!D8</f>
        <v>2000</v>
      </c>
      <c r="E1132" s="72">
        <v>18</v>
      </c>
      <c r="F1132" s="21">
        <f t="shared" si="80"/>
        <v>36000</v>
      </c>
      <c r="H1132" s="12">
        <v>1128</v>
      </c>
    </row>
    <row r="1133" spans="1:8" s="5" customFormat="1">
      <c r="A1133" s="15">
        <v>6</v>
      </c>
      <c r="B1133" s="7" t="s">
        <v>82</v>
      </c>
      <c r="C1133" s="8" t="str">
        <f>Gia_VLieu!C9</f>
        <v>cái</v>
      </c>
      <c r="D1133" s="86">
        <f>Gia_VLieu!D9</f>
        <v>8000</v>
      </c>
      <c r="E1133" s="72">
        <v>6</v>
      </c>
      <c r="F1133" s="21">
        <f t="shared" si="80"/>
        <v>48000</v>
      </c>
      <c r="H1133" s="12">
        <v>1129</v>
      </c>
    </row>
    <row r="1134" spans="1:8" s="5" customFormat="1">
      <c r="A1134" s="15">
        <v>7</v>
      </c>
      <c r="B1134" s="7" t="s">
        <v>83</v>
      </c>
      <c r="C1134" s="8" t="str">
        <f>Gia_VLieu!C10</f>
        <v>cái</v>
      </c>
      <c r="D1134" s="86">
        <f>Gia_VLieu!D10</f>
        <v>10000</v>
      </c>
      <c r="E1134" s="72">
        <v>5</v>
      </c>
      <c r="F1134" s="21">
        <f t="shared" si="80"/>
        <v>50000</v>
      </c>
      <c r="H1134" s="12">
        <v>1130</v>
      </c>
    </row>
    <row r="1135" spans="1:8" s="5" customFormat="1">
      <c r="A1135" s="15">
        <v>8</v>
      </c>
      <c r="B1135" s="7" t="s">
        <v>84</v>
      </c>
      <c r="C1135" s="8" t="str">
        <f>Gia_VLieu!C11</f>
        <v>hộp</v>
      </c>
      <c r="D1135" s="86">
        <f>Gia_VLieu!D11</f>
        <v>2500</v>
      </c>
      <c r="E1135" s="72">
        <v>4</v>
      </c>
      <c r="F1135" s="21">
        <f t="shared" si="80"/>
        <v>10000</v>
      </c>
      <c r="H1135" s="12">
        <v>1131</v>
      </c>
    </row>
    <row r="1136" spans="1:8" s="5" customFormat="1">
      <c r="A1136" s="15">
        <v>9</v>
      </c>
      <c r="B1136" s="7" t="s">
        <v>85</v>
      </c>
      <c r="C1136" s="8" t="str">
        <f>Gia_VLieu!C12</f>
        <v>hộp</v>
      </c>
      <c r="D1136" s="86">
        <f>Gia_VLieu!D12</f>
        <v>2000</v>
      </c>
      <c r="E1136" s="72">
        <v>3</v>
      </c>
      <c r="F1136" s="21">
        <f t="shared" si="80"/>
        <v>6000</v>
      </c>
      <c r="H1136" s="12">
        <v>1132</v>
      </c>
    </row>
    <row r="1137" spans="1:8" s="5" customFormat="1">
      <c r="A1137" s="15">
        <v>10</v>
      </c>
      <c r="B1137" s="7" t="s">
        <v>86</v>
      </c>
      <c r="C1137" s="8" t="str">
        <f>Gia_VLieu!C13</f>
        <v>tập</v>
      </c>
      <c r="D1137" s="86">
        <f>Gia_VLieu!D13</f>
        <v>8000</v>
      </c>
      <c r="E1137" s="72">
        <v>3</v>
      </c>
      <c r="F1137" s="21">
        <f t="shared" si="80"/>
        <v>24000</v>
      </c>
      <c r="H1137" s="12">
        <v>1133</v>
      </c>
    </row>
    <row r="1138" spans="1:8" s="5" customFormat="1">
      <c r="A1138" s="57">
        <v>11</v>
      </c>
      <c r="B1138" s="58" t="s">
        <v>87</v>
      </c>
      <c r="C1138" s="59" t="str">
        <f>Gia_VLieu!C14</f>
        <v>cái</v>
      </c>
      <c r="D1138" s="87">
        <f>Gia_VLieu!D14</f>
        <v>15000</v>
      </c>
      <c r="E1138" s="73">
        <v>12</v>
      </c>
      <c r="F1138" s="55">
        <f>D1138*E1138</f>
        <v>180000</v>
      </c>
      <c r="H1138" s="12">
        <v>1134</v>
      </c>
    </row>
    <row r="1139" spans="1:8" s="16" customFormat="1">
      <c r="A1139" s="14" t="e">
        <f>#REF!</f>
        <v>#REF!</v>
      </c>
      <c r="B1139" s="10" t="e">
        <f>#REF!</f>
        <v>#REF!</v>
      </c>
      <c r="C1139" s="9"/>
      <c r="D1139" s="92"/>
      <c r="E1139" s="66"/>
      <c r="F1139" s="22"/>
      <c r="H1139" s="12">
        <v>1135</v>
      </c>
    </row>
    <row r="1140" spans="1:8" s="46" customFormat="1">
      <c r="A1140" s="44" t="e">
        <f>#REF!</f>
        <v>#REF!</v>
      </c>
      <c r="B1140" s="45" t="e">
        <f>#REF!</f>
        <v>#REF!</v>
      </c>
      <c r="C1140" s="20"/>
      <c r="D1140" s="151">
        <f>Gia_VLieu!D$16</f>
        <v>1</v>
      </c>
      <c r="E1140" s="63"/>
      <c r="F1140" s="23">
        <f>SUM(F1141:F1151)*D1140</f>
        <v>590950</v>
      </c>
      <c r="H1140" s="12">
        <v>1136</v>
      </c>
    </row>
    <row r="1141" spans="1:8" s="5" customFormat="1">
      <c r="A1141" s="15">
        <v>1</v>
      </c>
      <c r="B1141" s="7" t="s">
        <v>77</v>
      </c>
      <c r="C1141" s="8" t="str">
        <f>Gia_VLieu!C4</f>
        <v>gram</v>
      </c>
      <c r="D1141" s="86">
        <f>Gia_VLieu!D4</f>
        <v>45000</v>
      </c>
      <c r="E1141" s="72">
        <v>1.2</v>
      </c>
      <c r="F1141" s="21">
        <f>D1141*E1141</f>
        <v>54000</v>
      </c>
      <c r="H1141" s="12">
        <v>1137</v>
      </c>
    </row>
    <row r="1142" spans="1:8" s="5" customFormat="1">
      <c r="A1142" s="15">
        <v>2</v>
      </c>
      <c r="B1142" s="7" t="s">
        <v>78</v>
      </c>
      <c r="C1142" s="8" t="str">
        <f>Gia_VLieu!C5</f>
        <v>hộp</v>
      </c>
      <c r="D1142" s="86">
        <f>Gia_VLieu!D5</f>
        <v>1450000</v>
      </c>
      <c r="E1142" s="72">
        <v>0.25</v>
      </c>
      <c r="F1142" s="21">
        <f t="shared" ref="F1142:F1150" si="81">D1142*E1142</f>
        <v>362500</v>
      </c>
      <c r="H1142" s="12">
        <v>1138</v>
      </c>
    </row>
    <row r="1143" spans="1:8" s="5" customFormat="1">
      <c r="A1143" s="15">
        <v>3</v>
      </c>
      <c r="B1143" s="7" t="s">
        <v>79</v>
      </c>
      <c r="C1143" s="8" t="str">
        <f>Gia_VLieu!C6</f>
        <v>hộp</v>
      </c>
      <c r="D1143" s="86">
        <f>Gia_VLieu!D6</f>
        <v>250000</v>
      </c>
      <c r="E1143" s="72">
        <v>0.15</v>
      </c>
      <c r="F1143" s="21">
        <f t="shared" si="81"/>
        <v>37500</v>
      </c>
      <c r="H1143" s="12">
        <v>1139</v>
      </c>
    </row>
    <row r="1144" spans="1:8" s="5" customFormat="1">
      <c r="A1144" s="15">
        <v>4</v>
      </c>
      <c r="B1144" s="7" t="s">
        <v>80</v>
      </c>
      <c r="C1144" s="8" t="str">
        <f>Gia_VLieu!C7</f>
        <v>quyển</v>
      </c>
      <c r="D1144" s="86">
        <f>Gia_VLieu!D7</f>
        <v>10000</v>
      </c>
      <c r="E1144" s="72">
        <v>4</v>
      </c>
      <c r="F1144" s="21">
        <f t="shared" si="81"/>
        <v>40000</v>
      </c>
      <c r="H1144" s="12">
        <v>1140</v>
      </c>
    </row>
    <row r="1145" spans="1:8" s="5" customFormat="1">
      <c r="A1145" s="15">
        <v>5</v>
      </c>
      <c r="B1145" s="7" t="s">
        <v>21</v>
      </c>
      <c r="C1145" s="8" t="str">
        <f>Gia_VLieu!C8</f>
        <v>cái</v>
      </c>
      <c r="D1145" s="86">
        <f>Gia_VLieu!D8</f>
        <v>2000</v>
      </c>
      <c r="E1145" s="72">
        <v>6</v>
      </c>
      <c r="F1145" s="21">
        <f t="shared" si="81"/>
        <v>12000</v>
      </c>
      <c r="H1145" s="12">
        <v>1141</v>
      </c>
    </row>
    <row r="1146" spans="1:8" s="5" customFormat="1">
      <c r="A1146" s="15">
        <v>6</v>
      </c>
      <c r="B1146" s="7" t="s">
        <v>82</v>
      </c>
      <c r="C1146" s="8" t="str">
        <f>Gia_VLieu!C9</f>
        <v>cái</v>
      </c>
      <c r="D1146" s="86">
        <f>Gia_VLieu!D9</f>
        <v>8000</v>
      </c>
      <c r="E1146" s="72">
        <v>2</v>
      </c>
      <c r="F1146" s="21">
        <f t="shared" si="81"/>
        <v>16000</v>
      </c>
      <c r="H1146" s="12">
        <v>1142</v>
      </c>
    </row>
    <row r="1147" spans="1:8" s="5" customFormat="1">
      <c r="A1147" s="15">
        <v>7</v>
      </c>
      <c r="B1147" s="7" t="s">
        <v>83</v>
      </c>
      <c r="C1147" s="8" t="str">
        <f>Gia_VLieu!C10</f>
        <v>cái</v>
      </c>
      <c r="D1147" s="86">
        <f>Gia_VLieu!D10</f>
        <v>10000</v>
      </c>
      <c r="E1147" s="72">
        <v>2</v>
      </c>
      <c r="F1147" s="21">
        <f t="shared" si="81"/>
        <v>20000</v>
      </c>
      <c r="H1147" s="12">
        <v>1143</v>
      </c>
    </row>
    <row r="1148" spans="1:8" s="5" customFormat="1">
      <c r="A1148" s="15">
        <v>8</v>
      </c>
      <c r="B1148" s="7" t="s">
        <v>84</v>
      </c>
      <c r="C1148" s="8" t="str">
        <f>Gia_VLieu!C11</f>
        <v>hộp</v>
      </c>
      <c r="D1148" s="86">
        <f>Gia_VLieu!D11</f>
        <v>2500</v>
      </c>
      <c r="E1148" s="72">
        <v>1.5</v>
      </c>
      <c r="F1148" s="21">
        <f t="shared" si="81"/>
        <v>3750</v>
      </c>
      <c r="H1148" s="12">
        <v>1144</v>
      </c>
    </row>
    <row r="1149" spans="1:8" s="5" customFormat="1">
      <c r="A1149" s="15">
        <v>9</v>
      </c>
      <c r="B1149" s="7" t="s">
        <v>85</v>
      </c>
      <c r="C1149" s="8" t="str">
        <f>Gia_VLieu!C12</f>
        <v>hộp</v>
      </c>
      <c r="D1149" s="86">
        <f>Gia_VLieu!D12</f>
        <v>2000</v>
      </c>
      <c r="E1149" s="72">
        <v>1.2</v>
      </c>
      <c r="F1149" s="21">
        <f t="shared" si="81"/>
        <v>2400</v>
      </c>
      <c r="H1149" s="12">
        <v>1145</v>
      </c>
    </row>
    <row r="1150" spans="1:8" s="5" customFormat="1">
      <c r="A1150" s="15">
        <v>10</v>
      </c>
      <c r="B1150" s="7" t="s">
        <v>86</v>
      </c>
      <c r="C1150" s="8" t="str">
        <f>Gia_VLieu!C13</f>
        <v>tập</v>
      </c>
      <c r="D1150" s="86">
        <f>Gia_VLieu!D13</f>
        <v>8000</v>
      </c>
      <c r="E1150" s="72">
        <v>1.6</v>
      </c>
      <c r="F1150" s="21">
        <f t="shared" si="81"/>
        <v>12800</v>
      </c>
      <c r="H1150" s="12">
        <v>1146</v>
      </c>
    </row>
    <row r="1151" spans="1:8" s="5" customFormat="1">
      <c r="A1151" s="57">
        <v>11</v>
      </c>
      <c r="B1151" s="58" t="s">
        <v>87</v>
      </c>
      <c r="C1151" s="59" t="str">
        <f>Gia_VLieu!C14</f>
        <v>cái</v>
      </c>
      <c r="D1151" s="87">
        <f>Gia_VLieu!D14</f>
        <v>15000</v>
      </c>
      <c r="E1151" s="73">
        <v>2</v>
      </c>
      <c r="F1151" s="55">
        <f>D1151*E1151</f>
        <v>30000</v>
      </c>
      <c r="H1151" s="12">
        <v>1147</v>
      </c>
    </row>
    <row r="1152" spans="1:8" s="46" customFormat="1">
      <c r="A1152" s="44" t="e">
        <f>#REF!</f>
        <v>#REF!</v>
      </c>
      <c r="B1152" s="45" t="e">
        <f>#REF!</f>
        <v>#REF!</v>
      </c>
      <c r="C1152" s="20"/>
      <c r="D1152" s="151">
        <f>Gia_VLieu!D$16</f>
        <v>1</v>
      </c>
      <c r="E1152" s="63"/>
      <c r="F1152" s="23">
        <f>SUM(F1153:F1163)*D1152</f>
        <v>3261000</v>
      </c>
      <c r="H1152" s="12">
        <v>1148</v>
      </c>
    </row>
    <row r="1153" spans="1:8" s="5" customFormat="1">
      <c r="A1153" s="15">
        <v>1</v>
      </c>
      <c r="B1153" s="7" t="s">
        <v>77</v>
      </c>
      <c r="C1153" s="8" t="str">
        <f>Gia_VLieu!C4</f>
        <v>gram</v>
      </c>
      <c r="D1153" s="86">
        <f>Gia_VLieu!D4</f>
        <v>45000</v>
      </c>
      <c r="E1153" s="72">
        <v>3.6</v>
      </c>
      <c r="F1153" s="21">
        <f>D1153*E1153</f>
        <v>162000</v>
      </c>
      <c r="H1153" s="12">
        <v>1149</v>
      </c>
    </row>
    <row r="1154" spans="1:8" s="5" customFormat="1">
      <c r="A1154" s="15">
        <v>2</v>
      </c>
      <c r="B1154" s="7" t="s">
        <v>78</v>
      </c>
      <c r="C1154" s="8" t="str">
        <f>Gia_VLieu!C5</f>
        <v>hộp</v>
      </c>
      <c r="D1154" s="86">
        <f>Gia_VLieu!D5</f>
        <v>1450000</v>
      </c>
      <c r="E1154" s="72">
        <v>1.6</v>
      </c>
      <c r="F1154" s="21">
        <f t="shared" ref="F1154:F1162" si="82">D1154*E1154</f>
        <v>2320000</v>
      </c>
      <c r="H1154" s="12">
        <v>1150</v>
      </c>
    </row>
    <row r="1155" spans="1:8" s="5" customFormat="1">
      <c r="A1155" s="15">
        <v>3</v>
      </c>
      <c r="B1155" s="7" t="s">
        <v>79</v>
      </c>
      <c r="C1155" s="8" t="str">
        <f>Gia_VLieu!C6</f>
        <v>hộp</v>
      </c>
      <c r="D1155" s="86">
        <f>Gia_VLieu!D6</f>
        <v>250000</v>
      </c>
      <c r="E1155" s="72">
        <v>1.2</v>
      </c>
      <c r="F1155" s="21">
        <f t="shared" si="82"/>
        <v>300000</v>
      </c>
      <c r="H1155" s="12">
        <v>1151</v>
      </c>
    </row>
    <row r="1156" spans="1:8" s="5" customFormat="1">
      <c r="A1156" s="15">
        <v>4</v>
      </c>
      <c r="B1156" s="7" t="s">
        <v>80</v>
      </c>
      <c r="C1156" s="8" t="str">
        <f>Gia_VLieu!C7</f>
        <v>quyển</v>
      </c>
      <c r="D1156" s="86">
        <f>Gia_VLieu!D7</f>
        <v>10000</v>
      </c>
      <c r="E1156" s="72">
        <v>12</v>
      </c>
      <c r="F1156" s="21">
        <f t="shared" si="82"/>
        <v>120000</v>
      </c>
      <c r="H1156" s="12">
        <v>1152</v>
      </c>
    </row>
    <row r="1157" spans="1:8" s="5" customFormat="1">
      <c r="A1157" s="15">
        <v>5</v>
      </c>
      <c r="B1157" s="7" t="s">
        <v>21</v>
      </c>
      <c r="C1157" s="8" t="str">
        <f>Gia_VLieu!C8</f>
        <v>cái</v>
      </c>
      <c r="D1157" s="86">
        <f>Gia_VLieu!D8</f>
        <v>2000</v>
      </c>
      <c r="E1157" s="72">
        <v>16</v>
      </c>
      <c r="F1157" s="21">
        <f t="shared" si="82"/>
        <v>32000</v>
      </c>
      <c r="H1157" s="12">
        <v>1153</v>
      </c>
    </row>
    <row r="1158" spans="1:8" s="5" customFormat="1">
      <c r="A1158" s="15">
        <v>6</v>
      </c>
      <c r="B1158" s="7" t="s">
        <v>82</v>
      </c>
      <c r="C1158" s="8" t="str">
        <f>Gia_VLieu!C9</f>
        <v>cái</v>
      </c>
      <c r="D1158" s="86">
        <f>Gia_VLieu!D9</f>
        <v>8000</v>
      </c>
      <c r="E1158" s="72">
        <v>8</v>
      </c>
      <c r="F1158" s="21">
        <f t="shared" si="82"/>
        <v>64000</v>
      </c>
      <c r="H1158" s="12">
        <v>1154</v>
      </c>
    </row>
    <row r="1159" spans="1:8" s="5" customFormat="1">
      <c r="A1159" s="15">
        <v>7</v>
      </c>
      <c r="B1159" s="7" t="s">
        <v>83</v>
      </c>
      <c r="C1159" s="8" t="str">
        <f>Gia_VLieu!C10</f>
        <v>cái</v>
      </c>
      <c r="D1159" s="86">
        <f>Gia_VLieu!D10</f>
        <v>10000</v>
      </c>
      <c r="E1159" s="72">
        <v>6</v>
      </c>
      <c r="F1159" s="21">
        <f t="shared" si="82"/>
        <v>60000</v>
      </c>
      <c r="H1159" s="12">
        <v>1155</v>
      </c>
    </row>
    <row r="1160" spans="1:8" s="5" customFormat="1">
      <c r="A1160" s="15">
        <v>8</v>
      </c>
      <c r="B1160" s="7" t="s">
        <v>84</v>
      </c>
      <c r="C1160" s="8" t="str">
        <f>Gia_VLieu!C11</f>
        <v>hộp</v>
      </c>
      <c r="D1160" s="86">
        <f>Gia_VLieu!D11</f>
        <v>2500</v>
      </c>
      <c r="E1160" s="72">
        <v>4</v>
      </c>
      <c r="F1160" s="21">
        <f t="shared" si="82"/>
        <v>10000</v>
      </c>
      <c r="H1160" s="12">
        <v>1156</v>
      </c>
    </row>
    <row r="1161" spans="1:8" s="5" customFormat="1">
      <c r="A1161" s="15">
        <v>9</v>
      </c>
      <c r="B1161" s="7" t="s">
        <v>85</v>
      </c>
      <c r="C1161" s="8" t="str">
        <f>Gia_VLieu!C12</f>
        <v>hộp</v>
      </c>
      <c r="D1161" s="86">
        <f>Gia_VLieu!D12</f>
        <v>2000</v>
      </c>
      <c r="E1161" s="72">
        <v>5</v>
      </c>
      <c r="F1161" s="21">
        <f t="shared" si="82"/>
        <v>10000</v>
      </c>
      <c r="H1161" s="12">
        <v>1157</v>
      </c>
    </row>
    <row r="1162" spans="1:8" s="5" customFormat="1">
      <c r="A1162" s="15">
        <v>10</v>
      </c>
      <c r="B1162" s="7" t="s">
        <v>86</v>
      </c>
      <c r="C1162" s="8" t="str">
        <f>Gia_VLieu!C13</f>
        <v>tập</v>
      </c>
      <c r="D1162" s="86">
        <f>Gia_VLieu!D13</f>
        <v>8000</v>
      </c>
      <c r="E1162" s="72">
        <v>6</v>
      </c>
      <c r="F1162" s="21">
        <f t="shared" si="82"/>
        <v>48000</v>
      </c>
      <c r="H1162" s="12">
        <v>1158</v>
      </c>
    </row>
    <row r="1163" spans="1:8" s="5" customFormat="1">
      <c r="A1163" s="57">
        <v>11</v>
      </c>
      <c r="B1163" s="58" t="s">
        <v>87</v>
      </c>
      <c r="C1163" s="59" t="str">
        <f>Gia_VLieu!C14</f>
        <v>cái</v>
      </c>
      <c r="D1163" s="87">
        <f>Gia_VLieu!D14</f>
        <v>15000</v>
      </c>
      <c r="E1163" s="73">
        <v>9</v>
      </c>
      <c r="F1163" s="55">
        <f>D1163*E1163</f>
        <v>135000</v>
      </c>
      <c r="H1163" s="12">
        <v>1159</v>
      </c>
    </row>
    <row r="1164" spans="1:8" s="46" customFormat="1">
      <c r="A1164" s="44" t="e">
        <f>#REF!</f>
        <v>#REF!</v>
      </c>
      <c r="B1164" s="45" t="e">
        <f>#REF!</f>
        <v>#REF!</v>
      </c>
      <c r="C1164" s="20"/>
      <c r="D1164" s="90"/>
      <c r="E1164" s="63"/>
      <c r="F1164" s="23"/>
      <c r="H1164" s="12">
        <v>1160</v>
      </c>
    </row>
    <row r="1165" spans="1:8" s="16" customFormat="1">
      <c r="A1165" s="14" t="e">
        <f>#REF!</f>
        <v>#REF!</v>
      </c>
      <c r="B1165" s="10" t="e">
        <f>#REF!</f>
        <v>#REF!</v>
      </c>
      <c r="C1165" s="9"/>
      <c r="D1165" s="92"/>
      <c r="E1165" s="66"/>
      <c r="F1165" s="22"/>
      <c r="H1165" s="12">
        <v>1161</v>
      </c>
    </row>
    <row r="1166" spans="1:8" s="46" customFormat="1">
      <c r="A1166" s="44" t="e">
        <f>#REF!</f>
        <v>#REF!</v>
      </c>
      <c r="B1166" s="45" t="e">
        <f>#REF!</f>
        <v>#REF!</v>
      </c>
      <c r="C1166" s="20"/>
      <c r="D1166" s="90"/>
      <c r="E1166" s="63"/>
      <c r="F1166" s="23"/>
      <c r="H1166" s="12">
        <v>1162</v>
      </c>
    </row>
    <row r="1167" spans="1:8" s="46" customFormat="1">
      <c r="A1167" s="44" t="e">
        <f>#REF!</f>
        <v>#REF!</v>
      </c>
      <c r="B1167" s="45" t="e">
        <f>#REF!</f>
        <v>#REF!</v>
      </c>
      <c r="C1167" s="20"/>
      <c r="D1167" s="151">
        <f>Gia_VLieu!D$16</f>
        <v>1</v>
      </c>
      <c r="E1167" s="63"/>
      <c r="F1167" s="23">
        <f>SUM(F1168:F1178)*D1167</f>
        <v>2354</v>
      </c>
      <c r="H1167" s="12">
        <v>1163</v>
      </c>
    </row>
    <row r="1168" spans="1:8" s="5" customFormat="1">
      <c r="A1168" s="15">
        <v>1</v>
      </c>
      <c r="B1168" s="7" t="s">
        <v>77</v>
      </c>
      <c r="C1168" s="8" t="str">
        <f>Gia_VLieu!C4</f>
        <v>gram</v>
      </c>
      <c r="D1168" s="86">
        <f>Gia_VLieu!D4</f>
        <v>45000</v>
      </c>
      <c r="E1168" s="72">
        <v>2E-3</v>
      </c>
      <c r="F1168" s="21">
        <f>D1168*E1168</f>
        <v>90</v>
      </c>
      <c r="H1168" s="12">
        <v>1164</v>
      </c>
    </row>
    <row r="1169" spans="1:8" s="5" customFormat="1">
      <c r="A1169" s="15">
        <v>2</v>
      </c>
      <c r="B1169" s="7" t="s">
        <v>78</v>
      </c>
      <c r="C1169" s="8" t="str">
        <f>Gia_VLieu!C5</f>
        <v>hộp</v>
      </c>
      <c r="D1169" s="86">
        <f>Gia_VLieu!D5</f>
        <v>1450000</v>
      </c>
      <c r="E1169" s="72">
        <v>1E-3</v>
      </c>
      <c r="F1169" s="21">
        <f t="shared" ref="F1169:F1177" si="83">D1169*E1169</f>
        <v>1450</v>
      </c>
      <c r="H1169" s="12">
        <v>1165</v>
      </c>
    </row>
    <row r="1170" spans="1:8" s="5" customFormat="1">
      <c r="A1170" s="15">
        <v>3</v>
      </c>
      <c r="B1170" s="7" t="s">
        <v>79</v>
      </c>
      <c r="C1170" s="8" t="str">
        <f>Gia_VLieu!C6</f>
        <v>hộp</v>
      </c>
      <c r="D1170" s="86">
        <f>Gia_VLieu!D6</f>
        <v>250000</v>
      </c>
      <c r="E1170" s="72">
        <v>0</v>
      </c>
      <c r="F1170" s="21">
        <f t="shared" si="83"/>
        <v>0</v>
      </c>
      <c r="H1170" s="12">
        <v>1166</v>
      </c>
    </row>
    <row r="1171" spans="1:8" s="5" customFormat="1">
      <c r="A1171" s="15">
        <v>4</v>
      </c>
      <c r="B1171" s="7" t="s">
        <v>80</v>
      </c>
      <c r="C1171" s="8" t="str">
        <f>Gia_VLieu!C7</f>
        <v>quyển</v>
      </c>
      <c r="D1171" s="86">
        <f>Gia_VLieu!D7</f>
        <v>10000</v>
      </c>
      <c r="E1171" s="72">
        <v>0.05</v>
      </c>
      <c r="F1171" s="21">
        <f t="shared" si="83"/>
        <v>500</v>
      </c>
      <c r="H1171" s="12">
        <v>1167</v>
      </c>
    </row>
    <row r="1172" spans="1:8" s="5" customFormat="1">
      <c r="A1172" s="15">
        <v>5</v>
      </c>
      <c r="B1172" s="7" t="s">
        <v>21</v>
      </c>
      <c r="C1172" s="8" t="str">
        <f>Gia_VLieu!C8</f>
        <v>cái</v>
      </c>
      <c r="D1172" s="86">
        <f>Gia_VLieu!D8</f>
        <v>2000</v>
      </c>
      <c r="E1172" s="72">
        <v>8.0000000000000002E-3</v>
      </c>
      <c r="F1172" s="21">
        <f t="shared" si="83"/>
        <v>16</v>
      </c>
      <c r="H1172" s="12">
        <v>1168</v>
      </c>
    </row>
    <row r="1173" spans="1:8" s="5" customFormat="1">
      <c r="A1173" s="15">
        <v>6</v>
      </c>
      <c r="B1173" s="7" t="s">
        <v>82</v>
      </c>
      <c r="C1173" s="8" t="str">
        <f>Gia_VLieu!C9</f>
        <v>cái</v>
      </c>
      <c r="D1173" s="86">
        <f>Gia_VLieu!D9</f>
        <v>8000</v>
      </c>
      <c r="E1173" s="72">
        <v>6.0000000000000001E-3</v>
      </c>
      <c r="F1173" s="21">
        <f t="shared" si="83"/>
        <v>48</v>
      </c>
      <c r="H1173" s="12">
        <v>1169</v>
      </c>
    </row>
    <row r="1174" spans="1:8" s="5" customFormat="1">
      <c r="A1174" s="15">
        <v>7</v>
      </c>
      <c r="B1174" s="7" t="s">
        <v>83</v>
      </c>
      <c r="C1174" s="8" t="str">
        <f>Gia_VLieu!C10</f>
        <v>cái</v>
      </c>
      <c r="D1174" s="86">
        <f>Gia_VLieu!D10</f>
        <v>10000</v>
      </c>
      <c r="E1174" s="72">
        <v>6.0000000000000001E-3</v>
      </c>
      <c r="F1174" s="21">
        <f t="shared" si="83"/>
        <v>60</v>
      </c>
      <c r="H1174" s="12">
        <v>1170</v>
      </c>
    </row>
    <row r="1175" spans="1:8" s="5" customFormat="1">
      <c r="A1175" s="15">
        <v>8</v>
      </c>
      <c r="B1175" s="7" t="s">
        <v>84</v>
      </c>
      <c r="C1175" s="8" t="str">
        <f>Gia_VLieu!C11</f>
        <v>hộp</v>
      </c>
      <c r="D1175" s="86">
        <f>Gia_VLieu!D11</f>
        <v>2500</v>
      </c>
      <c r="E1175" s="72">
        <v>0.01</v>
      </c>
      <c r="F1175" s="21">
        <f t="shared" si="83"/>
        <v>25</v>
      </c>
      <c r="H1175" s="12">
        <v>1171</v>
      </c>
    </row>
    <row r="1176" spans="1:8" s="5" customFormat="1">
      <c r="A1176" s="15">
        <v>9</v>
      </c>
      <c r="B1176" s="7" t="s">
        <v>85</v>
      </c>
      <c r="C1176" s="8" t="str">
        <f>Gia_VLieu!C12</f>
        <v>hộp</v>
      </c>
      <c r="D1176" s="86">
        <f>Gia_VLieu!D12</f>
        <v>2000</v>
      </c>
      <c r="E1176" s="72">
        <v>0.01</v>
      </c>
      <c r="F1176" s="21">
        <f t="shared" si="83"/>
        <v>20</v>
      </c>
      <c r="H1176" s="12">
        <v>1172</v>
      </c>
    </row>
    <row r="1177" spans="1:8" s="5" customFormat="1">
      <c r="A1177" s="15">
        <v>10</v>
      </c>
      <c r="B1177" s="7" t="s">
        <v>86</v>
      </c>
      <c r="C1177" s="8" t="str">
        <f>Gia_VLieu!C13</f>
        <v>tập</v>
      </c>
      <c r="D1177" s="86">
        <f>Gia_VLieu!D13</f>
        <v>8000</v>
      </c>
      <c r="E1177" s="72">
        <v>5.0000000000000001E-3</v>
      </c>
      <c r="F1177" s="21">
        <f t="shared" si="83"/>
        <v>40</v>
      </c>
      <c r="H1177" s="12">
        <v>1173</v>
      </c>
    </row>
    <row r="1178" spans="1:8" s="5" customFormat="1">
      <c r="A1178" s="57">
        <v>11</v>
      </c>
      <c r="B1178" s="58" t="s">
        <v>87</v>
      </c>
      <c r="C1178" s="59" t="str">
        <f>Gia_VLieu!C14</f>
        <v>cái</v>
      </c>
      <c r="D1178" s="87">
        <f>Gia_VLieu!D14</f>
        <v>15000</v>
      </c>
      <c r="E1178" s="73">
        <v>7.0000000000000001E-3</v>
      </c>
      <c r="F1178" s="55">
        <f>D1178*E1178</f>
        <v>105</v>
      </c>
      <c r="H1178" s="12">
        <v>1174</v>
      </c>
    </row>
    <row r="1179" spans="1:8" s="46" customFormat="1">
      <c r="A1179" s="44" t="e">
        <f>#REF!</f>
        <v>#REF!</v>
      </c>
      <c r="B1179" s="45" t="e">
        <f>#REF!</f>
        <v>#REF!</v>
      </c>
      <c r="C1179" s="20"/>
      <c r="D1179" s="151">
        <f>Gia_VLieu!D$16</f>
        <v>1</v>
      </c>
      <c r="E1179" s="63"/>
      <c r="F1179" s="23">
        <f>SUM(F1180:F1190)*D1179</f>
        <v>2354</v>
      </c>
      <c r="H1179" s="12">
        <v>1175</v>
      </c>
    </row>
    <row r="1180" spans="1:8" s="5" customFormat="1">
      <c r="A1180" s="15">
        <v>1</v>
      </c>
      <c r="B1180" s="7" t="s">
        <v>77</v>
      </c>
      <c r="C1180" s="8" t="str">
        <f>Gia_VLieu!C4</f>
        <v>gram</v>
      </c>
      <c r="D1180" s="86">
        <f>Gia_VLieu!D4</f>
        <v>45000</v>
      </c>
      <c r="E1180" s="72">
        <v>2E-3</v>
      </c>
      <c r="F1180" s="21">
        <f>D1180*E1180</f>
        <v>90</v>
      </c>
      <c r="H1180" s="12">
        <v>1176</v>
      </c>
    </row>
    <row r="1181" spans="1:8" s="5" customFormat="1">
      <c r="A1181" s="15">
        <v>2</v>
      </c>
      <c r="B1181" s="7" t="s">
        <v>78</v>
      </c>
      <c r="C1181" s="8" t="str">
        <f>Gia_VLieu!C5</f>
        <v>hộp</v>
      </c>
      <c r="D1181" s="86">
        <f>Gia_VLieu!D5</f>
        <v>1450000</v>
      </c>
      <c r="E1181" s="72">
        <v>1E-3</v>
      </c>
      <c r="F1181" s="21">
        <f t="shared" ref="F1181:F1189" si="84">D1181*E1181</f>
        <v>1450</v>
      </c>
      <c r="H1181" s="12">
        <v>1177</v>
      </c>
    </row>
    <row r="1182" spans="1:8" s="5" customFormat="1">
      <c r="A1182" s="15">
        <v>3</v>
      </c>
      <c r="B1182" s="7" t="s">
        <v>79</v>
      </c>
      <c r="C1182" s="8" t="str">
        <f>Gia_VLieu!C6</f>
        <v>hộp</v>
      </c>
      <c r="D1182" s="86">
        <f>Gia_VLieu!D6</f>
        <v>250000</v>
      </c>
      <c r="E1182" s="72">
        <v>0</v>
      </c>
      <c r="F1182" s="21">
        <f t="shared" si="84"/>
        <v>0</v>
      </c>
      <c r="H1182" s="12">
        <v>1178</v>
      </c>
    </row>
    <row r="1183" spans="1:8" s="5" customFormat="1">
      <c r="A1183" s="15">
        <v>4</v>
      </c>
      <c r="B1183" s="7" t="s">
        <v>80</v>
      </c>
      <c r="C1183" s="8" t="str">
        <f>Gia_VLieu!C7</f>
        <v>quyển</v>
      </c>
      <c r="D1183" s="86">
        <f>Gia_VLieu!D7</f>
        <v>10000</v>
      </c>
      <c r="E1183" s="72">
        <v>0.05</v>
      </c>
      <c r="F1183" s="21">
        <f t="shared" si="84"/>
        <v>500</v>
      </c>
      <c r="H1183" s="12">
        <v>1179</v>
      </c>
    </row>
    <row r="1184" spans="1:8" s="5" customFormat="1">
      <c r="A1184" s="15">
        <v>5</v>
      </c>
      <c r="B1184" s="7" t="s">
        <v>21</v>
      </c>
      <c r="C1184" s="8" t="str">
        <f>Gia_VLieu!C8</f>
        <v>cái</v>
      </c>
      <c r="D1184" s="86">
        <f>Gia_VLieu!D8</f>
        <v>2000</v>
      </c>
      <c r="E1184" s="72">
        <v>8.0000000000000002E-3</v>
      </c>
      <c r="F1184" s="21">
        <f t="shared" si="84"/>
        <v>16</v>
      </c>
      <c r="H1184" s="12">
        <v>1180</v>
      </c>
    </row>
    <row r="1185" spans="1:8" s="5" customFormat="1">
      <c r="A1185" s="15">
        <v>6</v>
      </c>
      <c r="B1185" s="7" t="s">
        <v>82</v>
      </c>
      <c r="C1185" s="8" t="str">
        <f>Gia_VLieu!C9</f>
        <v>cái</v>
      </c>
      <c r="D1185" s="86">
        <f>Gia_VLieu!D9</f>
        <v>8000</v>
      </c>
      <c r="E1185" s="72">
        <v>6.0000000000000001E-3</v>
      </c>
      <c r="F1185" s="21">
        <f t="shared" si="84"/>
        <v>48</v>
      </c>
      <c r="H1185" s="12">
        <v>1181</v>
      </c>
    </row>
    <row r="1186" spans="1:8" s="5" customFormat="1">
      <c r="A1186" s="15">
        <v>7</v>
      </c>
      <c r="B1186" s="7" t="s">
        <v>83</v>
      </c>
      <c r="C1186" s="8" t="str">
        <f>Gia_VLieu!C10</f>
        <v>cái</v>
      </c>
      <c r="D1186" s="86">
        <f>Gia_VLieu!D10</f>
        <v>10000</v>
      </c>
      <c r="E1186" s="72">
        <v>6.0000000000000001E-3</v>
      </c>
      <c r="F1186" s="21">
        <f t="shared" si="84"/>
        <v>60</v>
      </c>
      <c r="H1186" s="12">
        <v>1182</v>
      </c>
    </row>
    <row r="1187" spans="1:8" s="5" customFormat="1">
      <c r="A1187" s="15">
        <v>8</v>
      </c>
      <c r="B1187" s="7" t="s">
        <v>84</v>
      </c>
      <c r="C1187" s="8" t="str">
        <f>Gia_VLieu!C11</f>
        <v>hộp</v>
      </c>
      <c r="D1187" s="86">
        <f>Gia_VLieu!D11</f>
        <v>2500</v>
      </c>
      <c r="E1187" s="72">
        <v>0.01</v>
      </c>
      <c r="F1187" s="21">
        <f t="shared" si="84"/>
        <v>25</v>
      </c>
      <c r="H1187" s="12">
        <v>1183</v>
      </c>
    </row>
    <row r="1188" spans="1:8" s="5" customFormat="1">
      <c r="A1188" s="15">
        <v>9</v>
      </c>
      <c r="B1188" s="7" t="s">
        <v>85</v>
      </c>
      <c r="C1188" s="8" t="str">
        <f>Gia_VLieu!C12</f>
        <v>hộp</v>
      </c>
      <c r="D1188" s="86">
        <f>Gia_VLieu!D12</f>
        <v>2000</v>
      </c>
      <c r="E1188" s="72">
        <v>0.01</v>
      </c>
      <c r="F1188" s="21">
        <f t="shared" si="84"/>
        <v>20</v>
      </c>
      <c r="H1188" s="12">
        <v>1184</v>
      </c>
    </row>
    <row r="1189" spans="1:8" s="5" customFormat="1">
      <c r="A1189" s="15">
        <v>10</v>
      </c>
      <c r="B1189" s="7" t="s">
        <v>86</v>
      </c>
      <c r="C1189" s="8" t="str">
        <f>Gia_VLieu!C13</f>
        <v>tập</v>
      </c>
      <c r="D1189" s="86">
        <f>Gia_VLieu!D13</f>
        <v>8000</v>
      </c>
      <c r="E1189" s="72">
        <v>5.0000000000000001E-3</v>
      </c>
      <c r="F1189" s="21">
        <f t="shared" si="84"/>
        <v>40</v>
      </c>
      <c r="H1189" s="12">
        <v>1185</v>
      </c>
    </row>
    <row r="1190" spans="1:8" s="5" customFormat="1">
      <c r="A1190" s="57">
        <v>11</v>
      </c>
      <c r="B1190" s="58" t="s">
        <v>87</v>
      </c>
      <c r="C1190" s="59" t="str">
        <f>Gia_VLieu!C14</f>
        <v>cái</v>
      </c>
      <c r="D1190" s="87">
        <f>Gia_VLieu!D14</f>
        <v>15000</v>
      </c>
      <c r="E1190" s="73">
        <v>7.0000000000000001E-3</v>
      </c>
      <c r="F1190" s="55">
        <f>D1190*E1190</f>
        <v>105</v>
      </c>
      <c r="H1190" s="12">
        <v>1186</v>
      </c>
    </row>
    <row r="1191" spans="1:8" s="46" customFormat="1">
      <c r="A1191" s="44" t="e">
        <f>#REF!</f>
        <v>#REF!</v>
      </c>
      <c r="B1191" s="45" t="e">
        <f>#REF!</f>
        <v>#REF!</v>
      </c>
      <c r="C1191" s="20"/>
      <c r="D1191" s="90"/>
      <c r="E1191" s="63"/>
      <c r="F1191" s="23"/>
      <c r="H1191" s="12">
        <v>1187</v>
      </c>
    </row>
    <row r="1192" spans="1:8" s="46" customFormat="1">
      <c r="A1192" s="44" t="e">
        <f>#REF!</f>
        <v>#REF!</v>
      </c>
      <c r="B1192" s="45" t="e">
        <f>#REF!</f>
        <v>#REF!</v>
      </c>
      <c r="C1192" s="20"/>
      <c r="D1192" s="151">
        <f>Gia_VLieu!D$16</f>
        <v>1</v>
      </c>
      <c r="E1192" s="63"/>
      <c r="F1192" s="23">
        <f>SUM(F1193:F1203)*D1192</f>
        <v>2354</v>
      </c>
      <c r="H1192" s="12">
        <v>1188</v>
      </c>
    </row>
    <row r="1193" spans="1:8" s="5" customFormat="1">
      <c r="A1193" s="15">
        <v>1</v>
      </c>
      <c r="B1193" s="7" t="s">
        <v>77</v>
      </c>
      <c r="C1193" s="8" t="str">
        <f>Gia_VLieu!C4</f>
        <v>gram</v>
      </c>
      <c r="D1193" s="86">
        <f>Gia_VLieu!D4</f>
        <v>45000</v>
      </c>
      <c r="E1193" s="72">
        <v>2E-3</v>
      </c>
      <c r="F1193" s="21">
        <f>D1193*E1193</f>
        <v>90</v>
      </c>
      <c r="H1193" s="12">
        <v>1189</v>
      </c>
    </row>
    <row r="1194" spans="1:8" s="5" customFormat="1">
      <c r="A1194" s="15">
        <v>2</v>
      </c>
      <c r="B1194" s="7" t="s">
        <v>78</v>
      </c>
      <c r="C1194" s="8" t="str">
        <f>Gia_VLieu!C5</f>
        <v>hộp</v>
      </c>
      <c r="D1194" s="86">
        <f>Gia_VLieu!D5</f>
        <v>1450000</v>
      </c>
      <c r="E1194" s="72">
        <v>1E-3</v>
      </c>
      <c r="F1194" s="21">
        <f t="shared" ref="F1194:F1202" si="85">D1194*E1194</f>
        <v>1450</v>
      </c>
      <c r="H1194" s="12">
        <v>1190</v>
      </c>
    </row>
    <row r="1195" spans="1:8" s="5" customFormat="1">
      <c r="A1195" s="15">
        <v>3</v>
      </c>
      <c r="B1195" s="7" t="s">
        <v>79</v>
      </c>
      <c r="C1195" s="8" t="str">
        <f>Gia_VLieu!C6</f>
        <v>hộp</v>
      </c>
      <c r="D1195" s="86">
        <f>Gia_VLieu!D6</f>
        <v>250000</v>
      </c>
      <c r="E1195" s="72">
        <v>0</v>
      </c>
      <c r="F1195" s="21">
        <f t="shared" si="85"/>
        <v>0</v>
      </c>
      <c r="H1195" s="12">
        <v>1191</v>
      </c>
    </row>
    <row r="1196" spans="1:8" s="5" customFormat="1">
      <c r="A1196" s="15">
        <v>4</v>
      </c>
      <c r="B1196" s="7" t="s">
        <v>80</v>
      </c>
      <c r="C1196" s="8" t="str">
        <f>Gia_VLieu!C7</f>
        <v>quyển</v>
      </c>
      <c r="D1196" s="86">
        <f>Gia_VLieu!D7</f>
        <v>10000</v>
      </c>
      <c r="E1196" s="72">
        <v>0.05</v>
      </c>
      <c r="F1196" s="21">
        <f t="shared" si="85"/>
        <v>500</v>
      </c>
      <c r="H1196" s="12">
        <v>1192</v>
      </c>
    </row>
    <row r="1197" spans="1:8" s="5" customFormat="1">
      <c r="A1197" s="15">
        <v>5</v>
      </c>
      <c r="B1197" s="7" t="s">
        <v>21</v>
      </c>
      <c r="C1197" s="8" t="str">
        <f>Gia_VLieu!C8</f>
        <v>cái</v>
      </c>
      <c r="D1197" s="86">
        <f>Gia_VLieu!D8</f>
        <v>2000</v>
      </c>
      <c r="E1197" s="72">
        <v>8.0000000000000002E-3</v>
      </c>
      <c r="F1197" s="21">
        <f t="shared" si="85"/>
        <v>16</v>
      </c>
      <c r="H1197" s="12">
        <v>1193</v>
      </c>
    </row>
    <row r="1198" spans="1:8" s="5" customFormat="1">
      <c r="A1198" s="15">
        <v>6</v>
      </c>
      <c r="B1198" s="7" t="s">
        <v>82</v>
      </c>
      <c r="C1198" s="8" t="str">
        <f>Gia_VLieu!C9</f>
        <v>cái</v>
      </c>
      <c r="D1198" s="86">
        <f>Gia_VLieu!D9</f>
        <v>8000</v>
      </c>
      <c r="E1198" s="72">
        <v>6.0000000000000001E-3</v>
      </c>
      <c r="F1198" s="21">
        <f t="shared" si="85"/>
        <v>48</v>
      </c>
      <c r="H1198" s="12">
        <v>1194</v>
      </c>
    </row>
    <row r="1199" spans="1:8" s="5" customFormat="1">
      <c r="A1199" s="15">
        <v>7</v>
      </c>
      <c r="B1199" s="7" t="s">
        <v>83</v>
      </c>
      <c r="C1199" s="8" t="str">
        <f>Gia_VLieu!C10</f>
        <v>cái</v>
      </c>
      <c r="D1199" s="86">
        <f>Gia_VLieu!D10</f>
        <v>10000</v>
      </c>
      <c r="E1199" s="72">
        <v>6.0000000000000001E-3</v>
      </c>
      <c r="F1199" s="21">
        <f t="shared" si="85"/>
        <v>60</v>
      </c>
      <c r="H1199" s="12">
        <v>1195</v>
      </c>
    </row>
    <row r="1200" spans="1:8" s="5" customFormat="1">
      <c r="A1200" s="15">
        <v>8</v>
      </c>
      <c r="B1200" s="7" t="s">
        <v>84</v>
      </c>
      <c r="C1200" s="8" t="str">
        <f>Gia_VLieu!C11</f>
        <v>hộp</v>
      </c>
      <c r="D1200" s="86">
        <f>Gia_VLieu!D11</f>
        <v>2500</v>
      </c>
      <c r="E1200" s="72">
        <v>0.01</v>
      </c>
      <c r="F1200" s="21">
        <f t="shared" si="85"/>
        <v>25</v>
      </c>
      <c r="H1200" s="12">
        <v>1196</v>
      </c>
    </row>
    <row r="1201" spans="1:8" s="5" customFormat="1">
      <c r="A1201" s="15">
        <v>9</v>
      </c>
      <c r="B1201" s="7" t="s">
        <v>85</v>
      </c>
      <c r="C1201" s="8" t="str">
        <f>Gia_VLieu!C12</f>
        <v>hộp</v>
      </c>
      <c r="D1201" s="86">
        <f>Gia_VLieu!D12</f>
        <v>2000</v>
      </c>
      <c r="E1201" s="72">
        <v>0.01</v>
      </c>
      <c r="F1201" s="21">
        <f t="shared" si="85"/>
        <v>20</v>
      </c>
      <c r="H1201" s="12">
        <v>1197</v>
      </c>
    </row>
    <row r="1202" spans="1:8" s="5" customFormat="1">
      <c r="A1202" s="15">
        <v>10</v>
      </c>
      <c r="B1202" s="7" t="s">
        <v>86</v>
      </c>
      <c r="C1202" s="8" t="str">
        <f>Gia_VLieu!C13</f>
        <v>tập</v>
      </c>
      <c r="D1202" s="86">
        <f>Gia_VLieu!D13</f>
        <v>8000</v>
      </c>
      <c r="E1202" s="72">
        <v>5.0000000000000001E-3</v>
      </c>
      <c r="F1202" s="21">
        <f t="shared" si="85"/>
        <v>40</v>
      </c>
      <c r="H1202" s="12">
        <v>1198</v>
      </c>
    </row>
    <row r="1203" spans="1:8" s="5" customFormat="1">
      <c r="A1203" s="57">
        <v>11</v>
      </c>
      <c r="B1203" s="58" t="s">
        <v>87</v>
      </c>
      <c r="C1203" s="59" t="str">
        <f>Gia_VLieu!C14</f>
        <v>cái</v>
      </c>
      <c r="D1203" s="87">
        <f>Gia_VLieu!D14</f>
        <v>15000</v>
      </c>
      <c r="E1203" s="73">
        <v>7.0000000000000001E-3</v>
      </c>
      <c r="F1203" s="55">
        <f>D1203*E1203</f>
        <v>105</v>
      </c>
      <c r="H1203" s="12">
        <v>1199</v>
      </c>
    </row>
    <row r="1204" spans="1:8" s="46" customFormat="1">
      <c r="A1204" s="44" t="e">
        <f>#REF!</f>
        <v>#REF!</v>
      </c>
      <c r="B1204" s="45" t="e">
        <f>#REF!</f>
        <v>#REF!</v>
      </c>
      <c r="C1204" s="20"/>
      <c r="D1204" s="151">
        <f>Gia_VLieu!D$16</f>
        <v>1</v>
      </c>
      <c r="E1204" s="63"/>
      <c r="F1204" s="23">
        <f>SUM(F1205:F1215)*D1204</f>
        <v>2354</v>
      </c>
      <c r="H1204" s="12">
        <v>1200</v>
      </c>
    </row>
    <row r="1205" spans="1:8" s="5" customFormat="1">
      <c r="A1205" s="15">
        <v>1</v>
      </c>
      <c r="B1205" s="7" t="s">
        <v>77</v>
      </c>
      <c r="C1205" s="8" t="str">
        <f>Gia_VLieu!C4</f>
        <v>gram</v>
      </c>
      <c r="D1205" s="86">
        <f>Gia_VLieu!D4</f>
        <v>45000</v>
      </c>
      <c r="E1205" s="72">
        <v>2E-3</v>
      </c>
      <c r="F1205" s="21">
        <f>D1205*E1205</f>
        <v>90</v>
      </c>
      <c r="H1205" s="12">
        <v>1201</v>
      </c>
    </row>
    <row r="1206" spans="1:8" s="5" customFormat="1">
      <c r="A1206" s="15">
        <v>2</v>
      </c>
      <c r="B1206" s="7" t="s">
        <v>78</v>
      </c>
      <c r="C1206" s="8" t="str">
        <f>Gia_VLieu!C5</f>
        <v>hộp</v>
      </c>
      <c r="D1206" s="86">
        <f>Gia_VLieu!D5</f>
        <v>1450000</v>
      </c>
      <c r="E1206" s="72">
        <v>1E-3</v>
      </c>
      <c r="F1206" s="21">
        <f t="shared" ref="F1206:F1214" si="86">D1206*E1206</f>
        <v>1450</v>
      </c>
      <c r="H1206" s="12">
        <v>1202</v>
      </c>
    </row>
    <row r="1207" spans="1:8" s="5" customFormat="1">
      <c r="A1207" s="15">
        <v>3</v>
      </c>
      <c r="B1207" s="7" t="s">
        <v>79</v>
      </c>
      <c r="C1207" s="8" t="str">
        <f>Gia_VLieu!C6</f>
        <v>hộp</v>
      </c>
      <c r="D1207" s="86">
        <f>Gia_VLieu!D6</f>
        <v>250000</v>
      </c>
      <c r="E1207" s="72">
        <v>0</v>
      </c>
      <c r="F1207" s="21">
        <f t="shared" si="86"/>
        <v>0</v>
      </c>
      <c r="H1207" s="12">
        <v>1203</v>
      </c>
    </row>
    <row r="1208" spans="1:8" s="5" customFormat="1">
      <c r="A1208" s="15">
        <v>4</v>
      </c>
      <c r="B1208" s="7" t="s">
        <v>80</v>
      </c>
      <c r="C1208" s="8" t="str">
        <f>Gia_VLieu!C7</f>
        <v>quyển</v>
      </c>
      <c r="D1208" s="86">
        <f>Gia_VLieu!D7</f>
        <v>10000</v>
      </c>
      <c r="E1208" s="72">
        <v>0.05</v>
      </c>
      <c r="F1208" s="21">
        <f t="shared" si="86"/>
        <v>500</v>
      </c>
      <c r="H1208" s="12">
        <v>1204</v>
      </c>
    </row>
    <row r="1209" spans="1:8" s="5" customFormat="1">
      <c r="A1209" s="15">
        <v>5</v>
      </c>
      <c r="B1209" s="7" t="s">
        <v>21</v>
      </c>
      <c r="C1209" s="8" t="str">
        <f>Gia_VLieu!C8</f>
        <v>cái</v>
      </c>
      <c r="D1209" s="86">
        <f>Gia_VLieu!D8</f>
        <v>2000</v>
      </c>
      <c r="E1209" s="72">
        <v>8.0000000000000002E-3</v>
      </c>
      <c r="F1209" s="21">
        <f t="shared" si="86"/>
        <v>16</v>
      </c>
      <c r="H1209" s="12">
        <v>1205</v>
      </c>
    </row>
    <row r="1210" spans="1:8" s="5" customFormat="1">
      <c r="A1210" s="15">
        <v>6</v>
      </c>
      <c r="B1210" s="7" t="s">
        <v>82</v>
      </c>
      <c r="C1210" s="8" t="str">
        <f>Gia_VLieu!C9</f>
        <v>cái</v>
      </c>
      <c r="D1210" s="86">
        <f>Gia_VLieu!D9</f>
        <v>8000</v>
      </c>
      <c r="E1210" s="72">
        <v>6.0000000000000001E-3</v>
      </c>
      <c r="F1210" s="21">
        <f t="shared" si="86"/>
        <v>48</v>
      </c>
      <c r="H1210" s="12">
        <v>1206</v>
      </c>
    </row>
    <row r="1211" spans="1:8" s="5" customFormat="1">
      <c r="A1211" s="15">
        <v>7</v>
      </c>
      <c r="B1211" s="7" t="s">
        <v>83</v>
      </c>
      <c r="C1211" s="8" t="str">
        <f>Gia_VLieu!C10</f>
        <v>cái</v>
      </c>
      <c r="D1211" s="86">
        <f>Gia_VLieu!D10</f>
        <v>10000</v>
      </c>
      <c r="E1211" s="72">
        <v>6.0000000000000001E-3</v>
      </c>
      <c r="F1211" s="21">
        <f t="shared" si="86"/>
        <v>60</v>
      </c>
      <c r="H1211" s="12">
        <v>1207</v>
      </c>
    </row>
    <row r="1212" spans="1:8" s="5" customFormat="1">
      <c r="A1212" s="15">
        <v>8</v>
      </c>
      <c r="B1212" s="7" t="s">
        <v>84</v>
      </c>
      <c r="C1212" s="8" t="str">
        <f>Gia_VLieu!C11</f>
        <v>hộp</v>
      </c>
      <c r="D1212" s="86">
        <f>Gia_VLieu!D11</f>
        <v>2500</v>
      </c>
      <c r="E1212" s="72">
        <v>0.01</v>
      </c>
      <c r="F1212" s="21">
        <f t="shared" si="86"/>
        <v>25</v>
      </c>
      <c r="H1212" s="12">
        <v>1208</v>
      </c>
    </row>
    <row r="1213" spans="1:8" s="5" customFormat="1">
      <c r="A1213" s="15">
        <v>9</v>
      </c>
      <c r="B1213" s="7" t="s">
        <v>85</v>
      </c>
      <c r="C1213" s="8" t="str">
        <f>Gia_VLieu!C12</f>
        <v>hộp</v>
      </c>
      <c r="D1213" s="86">
        <f>Gia_VLieu!D12</f>
        <v>2000</v>
      </c>
      <c r="E1213" s="72">
        <v>0.01</v>
      </c>
      <c r="F1213" s="21">
        <f t="shared" si="86"/>
        <v>20</v>
      </c>
      <c r="H1213" s="12">
        <v>1209</v>
      </c>
    </row>
    <row r="1214" spans="1:8" s="5" customFormat="1">
      <c r="A1214" s="15">
        <v>10</v>
      </c>
      <c r="B1214" s="7" t="s">
        <v>86</v>
      </c>
      <c r="C1214" s="8" t="str">
        <f>Gia_VLieu!C13</f>
        <v>tập</v>
      </c>
      <c r="D1214" s="86">
        <f>Gia_VLieu!D13</f>
        <v>8000</v>
      </c>
      <c r="E1214" s="72">
        <v>5.0000000000000001E-3</v>
      </c>
      <c r="F1214" s="21">
        <f t="shared" si="86"/>
        <v>40</v>
      </c>
      <c r="H1214" s="12">
        <v>1210</v>
      </c>
    </row>
    <row r="1215" spans="1:8" s="5" customFormat="1">
      <c r="A1215" s="57">
        <v>11</v>
      </c>
      <c r="B1215" s="58" t="s">
        <v>87</v>
      </c>
      <c r="C1215" s="59" t="str">
        <f>Gia_VLieu!C14</f>
        <v>cái</v>
      </c>
      <c r="D1215" s="87">
        <f>Gia_VLieu!D14</f>
        <v>15000</v>
      </c>
      <c r="E1215" s="73">
        <v>7.0000000000000001E-3</v>
      </c>
      <c r="F1215" s="55">
        <f>D1215*E1215</f>
        <v>105</v>
      </c>
      <c r="H1215" s="12">
        <v>1211</v>
      </c>
    </row>
    <row r="1216" spans="1:8" s="46" customFormat="1">
      <c r="A1216" s="44" t="e">
        <f>#REF!</f>
        <v>#REF!</v>
      </c>
      <c r="B1216" s="45" t="e">
        <f>#REF!</f>
        <v>#REF!</v>
      </c>
      <c r="C1216" s="20"/>
      <c r="D1216" s="151">
        <f>Gia_VLieu!D$16</f>
        <v>1</v>
      </c>
      <c r="E1216" s="63"/>
      <c r="F1216" s="23">
        <f>SUM(F1217:F1227)*D1216</f>
        <v>2354</v>
      </c>
      <c r="H1216" s="12">
        <v>1212</v>
      </c>
    </row>
    <row r="1217" spans="1:8" s="5" customFormat="1">
      <c r="A1217" s="15">
        <v>1</v>
      </c>
      <c r="B1217" s="7" t="s">
        <v>77</v>
      </c>
      <c r="C1217" s="8" t="str">
        <f>Gia_VLieu!C4</f>
        <v>gram</v>
      </c>
      <c r="D1217" s="86">
        <f>Gia_VLieu!D4</f>
        <v>45000</v>
      </c>
      <c r="E1217" s="72">
        <v>2E-3</v>
      </c>
      <c r="F1217" s="21">
        <f>D1217*E1217</f>
        <v>90</v>
      </c>
      <c r="H1217" s="12">
        <v>1213</v>
      </c>
    </row>
    <row r="1218" spans="1:8" s="5" customFormat="1">
      <c r="A1218" s="15">
        <v>2</v>
      </c>
      <c r="B1218" s="7" t="s">
        <v>78</v>
      </c>
      <c r="C1218" s="8" t="str">
        <f>Gia_VLieu!C5</f>
        <v>hộp</v>
      </c>
      <c r="D1218" s="86">
        <f>Gia_VLieu!D5</f>
        <v>1450000</v>
      </c>
      <c r="E1218" s="72">
        <v>1E-3</v>
      </c>
      <c r="F1218" s="21">
        <f t="shared" ref="F1218:F1226" si="87">D1218*E1218</f>
        <v>1450</v>
      </c>
      <c r="H1218" s="12">
        <v>1214</v>
      </c>
    </row>
    <row r="1219" spans="1:8" s="5" customFormat="1">
      <c r="A1219" s="15">
        <v>3</v>
      </c>
      <c r="B1219" s="7" t="s">
        <v>79</v>
      </c>
      <c r="C1219" s="8" t="str">
        <f>Gia_VLieu!C6</f>
        <v>hộp</v>
      </c>
      <c r="D1219" s="86">
        <f>Gia_VLieu!D6</f>
        <v>250000</v>
      </c>
      <c r="E1219" s="72">
        <v>0</v>
      </c>
      <c r="F1219" s="21">
        <f t="shared" si="87"/>
        <v>0</v>
      </c>
      <c r="H1219" s="12">
        <v>1215</v>
      </c>
    </row>
    <row r="1220" spans="1:8" s="5" customFormat="1">
      <c r="A1220" s="15">
        <v>4</v>
      </c>
      <c r="B1220" s="7" t="s">
        <v>80</v>
      </c>
      <c r="C1220" s="8" t="str">
        <f>Gia_VLieu!C7</f>
        <v>quyển</v>
      </c>
      <c r="D1220" s="86">
        <f>Gia_VLieu!D7</f>
        <v>10000</v>
      </c>
      <c r="E1220" s="72">
        <v>0.05</v>
      </c>
      <c r="F1220" s="21">
        <f t="shared" si="87"/>
        <v>500</v>
      </c>
      <c r="H1220" s="12">
        <v>1216</v>
      </c>
    </row>
    <row r="1221" spans="1:8" s="5" customFormat="1">
      <c r="A1221" s="15">
        <v>5</v>
      </c>
      <c r="B1221" s="7" t="s">
        <v>21</v>
      </c>
      <c r="C1221" s="8" t="str">
        <f>Gia_VLieu!C8</f>
        <v>cái</v>
      </c>
      <c r="D1221" s="86">
        <f>Gia_VLieu!D8</f>
        <v>2000</v>
      </c>
      <c r="E1221" s="72">
        <v>8.0000000000000002E-3</v>
      </c>
      <c r="F1221" s="21">
        <f t="shared" si="87"/>
        <v>16</v>
      </c>
      <c r="H1221" s="12">
        <v>1217</v>
      </c>
    </row>
    <row r="1222" spans="1:8" s="5" customFormat="1">
      <c r="A1222" s="15">
        <v>6</v>
      </c>
      <c r="B1222" s="7" t="s">
        <v>82</v>
      </c>
      <c r="C1222" s="8" t="str">
        <f>Gia_VLieu!C9</f>
        <v>cái</v>
      </c>
      <c r="D1222" s="86">
        <f>Gia_VLieu!D9</f>
        <v>8000</v>
      </c>
      <c r="E1222" s="72">
        <v>6.0000000000000001E-3</v>
      </c>
      <c r="F1222" s="21">
        <f t="shared" si="87"/>
        <v>48</v>
      </c>
      <c r="H1222" s="12">
        <v>1218</v>
      </c>
    </row>
    <row r="1223" spans="1:8" s="5" customFormat="1">
      <c r="A1223" s="15">
        <v>7</v>
      </c>
      <c r="B1223" s="7" t="s">
        <v>83</v>
      </c>
      <c r="C1223" s="8" t="str">
        <f>Gia_VLieu!C10</f>
        <v>cái</v>
      </c>
      <c r="D1223" s="86">
        <f>Gia_VLieu!D10</f>
        <v>10000</v>
      </c>
      <c r="E1223" s="72">
        <v>6.0000000000000001E-3</v>
      </c>
      <c r="F1223" s="21">
        <f t="shared" si="87"/>
        <v>60</v>
      </c>
      <c r="H1223" s="12">
        <v>1219</v>
      </c>
    </row>
    <row r="1224" spans="1:8" s="5" customFormat="1">
      <c r="A1224" s="15">
        <v>8</v>
      </c>
      <c r="B1224" s="7" t="s">
        <v>84</v>
      </c>
      <c r="C1224" s="8" t="str">
        <f>Gia_VLieu!C11</f>
        <v>hộp</v>
      </c>
      <c r="D1224" s="86">
        <f>Gia_VLieu!D11</f>
        <v>2500</v>
      </c>
      <c r="E1224" s="72">
        <v>0.01</v>
      </c>
      <c r="F1224" s="21">
        <f t="shared" si="87"/>
        <v>25</v>
      </c>
      <c r="H1224" s="12">
        <v>1220</v>
      </c>
    </row>
    <row r="1225" spans="1:8" s="5" customFormat="1">
      <c r="A1225" s="15">
        <v>9</v>
      </c>
      <c r="B1225" s="7" t="s">
        <v>85</v>
      </c>
      <c r="C1225" s="8" t="str">
        <f>Gia_VLieu!C12</f>
        <v>hộp</v>
      </c>
      <c r="D1225" s="86">
        <f>Gia_VLieu!D12</f>
        <v>2000</v>
      </c>
      <c r="E1225" s="72">
        <v>0.01</v>
      </c>
      <c r="F1225" s="21">
        <f t="shared" si="87"/>
        <v>20</v>
      </c>
      <c r="H1225" s="12">
        <v>1221</v>
      </c>
    </row>
    <row r="1226" spans="1:8" s="5" customFormat="1">
      <c r="A1226" s="15">
        <v>10</v>
      </c>
      <c r="B1226" s="7" t="s">
        <v>86</v>
      </c>
      <c r="C1226" s="8" t="str">
        <f>Gia_VLieu!C13</f>
        <v>tập</v>
      </c>
      <c r="D1226" s="86">
        <f>Gia_VLieu!D13</f>
        <v>8000</v>
      </c>
      <c r="E1226" s="72">
        <v>5.0000000000000001E-3</v>
      </c>
      <c r="F1226" s="21">
        <f t="shared" si="87"/>
        <v>40</v>
      </c>
      <c r="H1226" s="12">
        <v>1222</v>
      </c>
    </row>
    <row r="1227" spans="1:8" s="5" customFormat="1">
      <c r="A1227" s="57">
        <v>11</v>
      </c>
      <c r="B1227" s="58" t="s">
        <v>87</v>
      </c>
      <c r="C1227" s="59" t="str">
        <f>Gia_VLieu!C14</f>
        <v>cái</v>
      </c>
      <c r="D1227" s="87">
        <f>Gia_VLieu!D14</f>
        <v>15000</v>
      </c>
      <c r="E1227" s="73">
        <v>7.0000000000000001E-3</v>
      </c>
      <c r="F1227" s="55">
        <f>D1227*E1227</f>
        <v>105</v>
      </c>
      <c r="H1227" s="12">
        <v>1223</v>
      </c>
    </row>
    <row r="1228" spans="1:8" s="46" customFormat="1">
      <c r="A1228" s="44" t="e">
        <f>#REF!</f>
        <v>#REF!</v>
      </c>
      <c r="B1228" s="45" t="e">
        <f>#REF!</f>
        <v>#REF!</v>
      </c>
      <c r="C1228" s="20"/>
      <c r="D1228" s="151">
        <f>Gia_VLieu!D$16</f>
        <v>1</v>
      </c>
      <c r="E1228" s="63"/>
      <c r="F1228" s="23">
        <f>SUM(F1229:F1239)*D1228</f>
        <v>2354</v>
      </c>
      <c r="H1228" s="12">
        <v>1224</v>
      </c>
    </row>
    <row r="1229" spans="1:8" s="5" customFormat="1">
      <c r="A1229" s="15">
        <v>1</v>
      </c>
      <c r="B1229" s="7" t="s">
        <v>77</v>
      </c>
      <c r="C1229" s="8" t="str">
        <f>Gia_VLieu!C4</f>
        <v>gram</v>
      </c>
      <c r="D1229" s="86">
        <f>Gia_VLieu!D4</f>
        <v>45000</v>
      </c>
      <c r="E1229" s="72">
        <v>2E-3</v>
      </c>
      <c r="F1229" s="21">
        <f>D1229*E1229</f>
        <v>90</v>
      </c>
      <c r="H1229" s="12">
        <v>1225</v>
      </c>
    </row>
    <row r="1230" spans="1:8" s="5" customFormat="1">
      <c r="A1230" s="15">
        <v>2</v>
      </c>
      <c r="B1230" s="7" t="s">
        <v>78</v>
      </c>
      <c r="C1230" s="8" t="str">
        <f>Gia_VLieu!C5</f>
        <v>hộp</v>
      </c>
      <c r="D1230" s="86">
        <f>Gia_VLieu!D5</f>
        <v>1450000</v>
      </c>
      <c r="E1230" s="72">
        <v>1E-3</v>
      </c>
      <c r="F1230" s="21">
        <f t="shared" ref="F1230:F1238" si="88">D1230*E1230</f>
        <v>1450</v>
      </c>
      <c r="H1230" s="12">
        <v>1226</v>
      </c>
    </row>
    <row r="1231" spans="1:8" s="5" customFormat="1">
      <c r="A1231" s="15">
        <v>3</v>
      </c>
      <c r="B1231" s="7" t="s">
        <v>79</v>
      </c>
      <c r="C1231" s="8" t="str">
        <f>Gia_VLieu!C6</f>
        <v>hộp</v>
      </c>
      <c r="D1231" s="86">
        <f>Gia_VLieu!D6</f>
        <v>250000</v>
      </c>
      <c r="E1231" s="72">
        <v>0</v>
      </c>
      <c r="F1231" s="21">
        <f t="shared" si="88"/>
        <v>0</v>
      </c>
      <c r="H1231" s="12">
        <v>1227</v>
      </c>
    </row>
    <row r="1232" spans="1:8" s="5" customFormat="1">
      <c r="A1232" s="15">
        <v>4</v>
      </c>
      <c r="B1232" s="7" t="s">
        <v>80</v>
      </c>
      <c r="C1232" s="8" t="str">
        <f>Gia_VLieu!C7</f>
        <v>quyển</v>
      </c>
      <c r="D1232" s="86">
        <f>Gia_VLieu!D7</f>
        <v>10000</v>
      </c>
      <c r="E1232" s="72">
        <v>0.05</v>
      </c>
      <c r="F1232" s="21">
        <f t="shared" si="88"/>
        <v>500</v>
      </c>
      <c r="H1232" s="12">
        <v>1228</v>
      </c>
    </row>
    <row r="1233" spans="1:8" s="5" customFormat="1">
      <c r="A1233" s="15">
        <v>5</v>
      </c>
      <c r="B1233" s="7" t="s">
        <v>21</v>
      </c>
      <c r="C1233" s="8" t="str">
        <f>Gia_VLieu!C8</f>
        <v>cái</v>
      </c>
      <c r="D1233" s="86">
        <f>Gia_VLieu!D8</f>
        <v>2000</v>
      </c>
      <c r="E1233" s="72">
        <v>8.0000000000000002E-3</v>
      </c>
      <c r="F1233" s="21">
        <f t="shared" si="88"/>
        <v>16</v>
      </c>
      <c r="H1233" s="12">
        <v>1229</v>
      </c>
    </row>
    <row r="1234" spans="1:8" s="5" customFormat="1">
      <c r="A1234" s="15">
        <v>6</v>
      </c>
      <c r="B1234" s="7" t="s">
        <v>82</v>
      </c>
      <c r="C1234" s="8" t="str">
        <f>Gia_VLieu!C9</f>
        <v>cái</v>
      </c>
      <c r="D1234" s="86">
        <f>Gia_VLieu!D9</f>
        <v>8000</v>
      </c>
      <c r="E1234" s="72">
        <v>6.0000000000000001E-3</v>
      </c>
      <c r="F1234" s="21">
        <f t="shared" si="88"/>
        <v>48</v>
      </c>
      <c r="H1234" s="12">
        <v>1230</v>
      </c>
    </row>
    <row r="1235" spans="1:8" s="5" customFormat="1">
      <c r="A1235" s="15">
        <v>7</v>
      </c>
      <c r="B1235" s="7" t="s">
        <v>83</v>
      </c>
      <c r="C1235" s="8" t="str">
        <f>Gia_VLieu!C10</f>
        <v>cái</v>
      </c>
      <c r="D1235" s="86">
        <f>Gia_VLieu!D10</f>
        <v>10000</v>
      </c>
      <c r="E1235" s="72">
        <v>6.0000000000000001E-3</v>
      </c>
      <c r="F1235" s="21">
        <f t="shared" si="88"/>
        <v>60</v>
      </c>
      <c r="H1235" s="12">
        <v>1231</v>
      </c>
    </row>
    <row r="1236" spans="1:8" s="5" customFormat="1">
      <c r="A1236" s="15">
        <v>8</v>
      </c>
      <c r="B1236" s="7" t="s">
        <v>84</v>
      </c>
      <c r="C1236" s="8" t="str">
        <f>Gia_VLieu!C11</f>
        <v>hộp</v>
      </c>
      <c r="D1236" s="86">
        <f>Gia_VLieu!D11</f>
        <v>2500</v>
      </c>
      <c r="E1236" s="72">
        <v>0.01</v>
      </c>
      <c r="F1236" s="21">
        <f t="shared" si="88"/>
        <v>25</v>
      </c>
      <c r="H1236" s="12">
        <v>1232</v>
      </c>
    </row>
    <row r="1237" spans="1:8" s="5" customFormat="1">
      <c r="A1237" s="15">
        <v>9</v>
      </c>
      <c r="B1237" s="7" t="s">
        <v>85</v>
      </c>
      <c r="C1237" s="8" t="str">
        <f>Gia_VLieu!C12</f>
        <v>hộp</v>
      </c>
      <c r="D1237" s="86">
        <f>Gia_VLieu!D12</f>
        <v>2000</v>
      </c>
      <c r="E1237" s="72">
        <v>0.01</v>
      </c>
      <c r="F1237" s="21">
        <f t="shared" si="88"/>
        <v>20</v>
      </c>
      <c r="H1237" s="12">
        <v>1233</v>
      </c>
    </row>
    <row r="1238" spans="1:8" s="5" customFormat="1">
      <c r="A1238" s="15">
        <v>10</v>
      </c>
      <c r="B1238" s="7" t="s">
        <v>86</v>
      </c>
      <c r="C1238" s="8" t="str">
        <f>Gia_VLieu!C13</f>
        <v>tập</v>
      </c>
      <c r="D1238" s="86">
        <f>Gia_VLieu!D13</f>
        <v>8000</v>
      </c>
      <c r="E1238" s="72">
        <v>5.0000000000000001E-3</v>
      </c>
      <c r="F1238" s="21">
        <f t="shared" si="88"/>
        <v>40</v>
      </c>
      <c r="H1238" s="12">
        <v>1234</v>
      </c>
    </row>
    <row r="1239" spans="1:8" s="5" customFormat="1">
      <c r="A1239" s="57">
        <v>11</v>
      </c>
      <c r="B1239" s="58" t="s">
        <v>87</v>
      </c>
      <c r="C1239" s="59" t="str">
        <f>Gia_VLieu!C14</f>
        <v>cái</v>
      </c>
      <c r="D1239" s="87">
        <f>Gia_VLieu!D14</f>
        <v>15000</v>
      </c>
      <c r="E1239" s="73">
        <v>7.0000000000000001E-3</v>
      </c>
      <c r="F1239" s="55">
        <f>D1239*E1239</f>
        <v>105</v>
      </c>
      <c r="H1239" s="12">
        <v>1235</v>
      </c>
    </row>
    <row r="1240" spans="1:8" s="16" customFormat="1">
      <c r="A1240" s="14" t="e">
        <f>#REF!</f>
        <v>#REF!</v>
      </c>
      <c r="B1240" s="10" t="e">
        <f>#REF!</f>
        <v>#REF!</v>
      </c>
      <c r="C1240" s="9"/>
      <c r="D1240" s="92"/>
      <c r="E1240" s="66"/>
      <c r="F1240" s="22"/>
      <c r="H1240" s="12">
        <v>1236</v>
      </c>
    </row>
    <row r="1241" spans="1:8" s="46" customFormat="1">
      <c r="A1241" s="44" t="e">
        <f>#REF!</f>
        <v>#REF!</v>
      </c>
      <c r="B1241" s="45" t="e">
        <f>#REF!</f>
        <v>#REF!</v>
      </c>
      <c r="C1241" s="20"/>
      <c r="D1241" s="90"/>
      <c r="E1241" s="63"/>
      <c r="F1241" s="23"/>
      <c r="H1241" s="12">
        <v>1237</v>
      </c>
    </row>
    <row r="1242" spans="1:8" s="5" customFormat="1">
      <c r="A1242" s="15" t="e">
        <f>#REF!</f>
        <v>#REF!</v>
      </c>
      <c r="B1242" s="7" t="e">
        <f>#REF!</f>
        <v>#REF!</v>
      </c>
      <c r="C1242" s="8"/>
      <c r="D1242" s="86"/>
      <c r="E1242" s="43"/>
      <c r="F1242" s="21"/>
      <c r="H1242" s="12">
        <v>1238</v>
      </c>
    </row>
    <row r="1243" spans="1:8" s="5" customFormat="1">
      <c r="A1243" s="15" t="e">
        <f>#REF!</f>
        <v>#REF!</v>
      </c>
      <c r="B1243" s="7" t="e">
        <f>#REF!</f>
        <v>#REF!</v>
      </c>
      <c r="C1243" s="8"/>
      <c r="D1243" s="86"/>
      <c r="E1243" s="43"/>
      <c r="F1243" s="21">
        <f>F1167</f>
        <v>2354</v>
      </c>
      <c r="H1243" s="12">
        <v>1239</v>
      </c>
    </row>
    <row r="1244" spans="1:8" s="5" customFormat="1">
      <c r="A1244" s="15" t="e">
        <f>#REF!</f>
        <v>#REF!</v>
      </c>
      <c r="B1244" s="7" t="e">
        <f>#REF!</f>
        <v>#REF!</v>
      </c>
      <c r="C1244" s="8"/>
      <c r="D1244" s="86"/>
      <c r="E1244" s="43"/>
      <c r="F1244" s="21">
        <f>F1179</f>
        <v>2354</v>
      </c>
      <c r="H1244" s="12">
        <v>1240</v>
      </c>
    </row>
    <row r="1245" spans="1:8" s="5" customFormat="1">
      <c r="A1245" s="15" t="e">
        <f>#REF!</f>
        <v>#REF!</v>
      </c>
      <c r="B1245" s="7" t="e">
        <f>#REF!</f>
        <v>#REF!</v>
      </c>
      <c r="C1245" s="8"/>
      <c r="D1245" s="86"/>
      <c r="E1245" s="43"/>
      <c r="F1245" s="21"/>
      <c r="H1245" s="12">
        <v>1241</v>
      </c>
    </row>
    <row r="1246" spans="1:8" s="5" customFormat="1">
      <c r="A1246" s="15" t="e">
        <f>#REF!</f>
        <v>#REF!</v>
      </c>
      <c r="B1246" s="7" t="e">
        <f>#REF!</f>
        <v>#REF!</v>
      </c>
      <c r="C1246" s="8"/>
      <c r="D1246" s="86"/>
      <c r="E1246" s="43"/>
      <c r="F1246" s="21">
        <f>F1204</f>
        <v>2354</v>
      </c>
      <c r="H1246" s="12">
        <v>1242</v>
      </c>
    </row>
    <row r="1247" spans="1:8" s="5" customFormat="1">
      <c r="A1247" s="15" t="e">
        <f>#REF!</f>
        <v>#REF!</v>
      </c>
      <c r="B1247" s="7" t="e">
        <f>#REF!</f>
        <v>#REF!</v>
      </c>
      <c r="C1247" s="8"/>
      <c r="D1247" s="86"/>
      <c r="E1247" s="43"/>
      <c r="F1247" s="21">
        <f>F1204</f>
        <v>2354</v>
      </c>
      <c r="H1247" s="12">
        <v>1243</v>
      </c>
    </row>
    <row r="1248" spans="1:8" s="5" customFormat="1">
      <c r="A1248" s="15" t="e">
        <f>#REF!</f>
        <v>#REF!</v>
      </c>
      <c r="B1248" s="7" t="e">
        <f>#REF!</f>
        <v>#REF!</v>
      </c>
      <c r="C1248" s="8"/>
      <c r="D1248" s="86"/>
      <c r="E1248" s="43"/>
      <c r="F1248" s="21">
        <f>F1216</f>
        <v>2354</v>
      </c>
      <c r="H1248" s="12">
        <v>1244</v>
      </c>
    </row>
    <row r="1249" spans="1:8" s="5" customFormat="1">
      <c r="A1249" s="57" t="e">
        <f>#REF!</f>
        <v>#REF!</v>
      </c>
      <c r="B1249" s="58" t="e">
        <f>#REF!</f>
        <v>#REF!</v>
      </c>
      <c r="C1249" s="59"/>
      <c r="D1249" s="87"/>
      <c r="E1249" s="64"/>
      <c r="F1249" s="55">
        <f>F1228</f>
        <v>2354</v>
      </c>
      <c r="H1249" s="12">
        <v>1245</v>
      </c>
    </row>
    <row r="1250" spans="1:8" s="46" customFormat="1">
      <c r="A1250" s="74" t="e">
        <f>#REF!</f>
        <v>#REF!</v>
      </c>
      <c r="B1250" s="75" t="e">
        <f>#REF!</f>
        <v>#REF!</v>
      </c>
      <c r="C1250" s="76"/>
      <c r="D1250" s="94"/>
      <c r="E1250" s="77"/>
      <c r="F1250" s="56"/>
      <c r="H1250" s="12">
        <v>1246</v>
      </c>
    </row>
    <row r="1251" spans="1:8" s="5" customFormat="1">
      <c r="A1251" s="15" t="e">
        <f>#REF!</f>
        <v>#REF!</v>
      </c>
      <c r="B1251" s="7" t="e">
        <f>#REF!</f>
        <v>#REF!</v>
      </c>
      <c r="C1251" s="8"/>
      <c r="D1251" s="86"/>
      <c r="E1251" s="43"/>
      <c r="F1251" s="21"/>
      <c r="H1251" s="12">
        <v>1247</v>
      </c>
    </row>
    <row r="1252" spans="1:8" s="5" customFormat="1">
      <c r="A1252" s="15" t="e">
        <f>#REF!</f>
        <v>#REF!</v>
      </c>
      <c r="B1252" s="7" t="e">
        <f>#REF!</f>
        <v>#REF!</v>
      </c>
      <c r="C1252" s="8"/>
      <c r="D1252" s="86"/>
      <c r="E1252" s="43"/>
      <c r="F1252" s="21">
        <f>F1243</f>
        <v>2354</v>
      </c>
      <c r="H1252" s="12">
        <v>1248</v>
      </c>
    </row>
    <row r="1253" spans="1:8" s="5" customFormat="1">
      <c r="A1253" s="15" t="e">
        <f>#REF!</f>
        <v>#REF!</v>
      </c>
      <c r="B1253" s="7" t="e">
        <f>#REF!</f>
        <v>#REF!</v>
      </c>
      <c r="C1253" s="8"/>
      <c r="D1253" s="86"/>
      <c r="E1253" s="43"/>
      <c r="F1253" s="21">
        <f>F1244</f>
        <v>2354</v>
      </c>
      <c r="H1253" s="12">
        <v>1249</v>
      </c>
    </row>
    <row r="1254" spans="1:8" s="5" customFormat="1">
      <c r="A1254" s="15" t="e">
        <f>#REF!</f>
        <v>#REF!</v>
      </c>
      <c r="B1254" s="7" t="e">
        <f>#REF!</f>
        <v>#REF!</v>
      </c>
      <c r="C1254" s="8"/>
      <c r="D1254" s="86"/>
      <c r="E1254" s="43"/>
      <c r="F1254" s="21">
        <f>F1248</f>
        <v>2354</v>
      </c>
      <c r="H1254" s="12">
        <v>1250</v>
      </c>
    </row>
    <row r="1255" spans="1:8" s="5" customFormat="1">
      <c r="A1255" s="15" t="e">
        <f>#REF!</f>
        <v>#REF!</v>
      </c>
      <c r="B1255" s="7" t="e">
        <f>#REF!</f>
        <v>#REF!</v>
      </c>
      <c r="C1255" s="8"/>
      <c r="D1255" s="86"/>
      <c r="E1255" s="43"/>
      <c r="F1255" s="21"/>
      <c r="H1255" s="12">
        <v>1251</v>
      </c>
    </row>
    <row r="1256" spans="1:8" s="5" customFormat="1">
      <c r="A1256" s="15" t="e">
        <f>#REF!</f>
        <v>#REF!</v>
      </c>
      <c r="B1256" s="7" t="e">
        <f>#REF!</f>
        <v>#REF!</v>
      </c>
      <c r="C1256" s="8"/>
      <c r="D1256" s="86"/>
      <c r="E1256" s="43"/>
      <c r="F1256" s="21">
        <f>F1246</f>
        <v>2354</v>
      </c>
      <c r="H1256" s="12">
        <v>1252</v>
      </c>
    </row>
    <row r="1257" spans="1:8" s="5" customFormat="1">
      <c r="A1257" s="15" t="e">
        <f>#REF!</f>
        <v>#REF!</v>
      </c>
      <c r="B1257" s="7" t="e">
        <f>#REF!</f>
        <v>#REF!</v>
      </c>
      <c r="C1257" s="8"/>
      <c r="D1257" s="86"/>
      <c r="E1257" s="43"/>
      <c r="F1257" s="21">
        <f>F1247</f>
        <v>2354</v>
      </c>
      <c r="H1257" s="12">
        <v>1253</v>
      </c>
    </row>
    <row r="1258" spans="1:8" s="5" customFormat="1">
      <c r="A1258" s="57" t="e">
        <f>#REF!</f>
        <v>#REF!</v>
      </c>
      <c r="B1258" s="58" t="e">
        <f>#REF!</f>
        <v>#REF!</v>
      </c>
      <c r="C1258" s="59"/>
      <c r="D1258" s="87"/>
      <c r="E1258" s="64"/>
      <c r="F1258" s="55">
        <f>F1249</f>
        <v>2354</v>
      </c>
      <c r="H1258" s="12">
        <v>1254</v>
      </c>
    </row>
    <row r="1259" spans="1:8" s="46" customFormat="1">
      <c r="A1259" s="74" t="e">
        <f>#REF!</f>
        <v>#REF!</v>
      </c>
      <c r="B1259" s="75" t="e">
        <f>#REF!</f>
        <v>#REF!</v>
      </c>
      <c r="C1259" s="76"/>
      <c r="D1259" s="151">
        <f>Gia_VLieu!D$16</f>
        <v>1</v>
      </c>
      <c r="E1259" s="63"/>
      <c r="F1259" s="23">
        <f>SUM(F1260:F1270)*D1259</f>
        <v>2166000</v>
      </c>
      <c r="H1259" s="12">
        <v>1255</v>
      </c>
    </row>
    <row r="1260" spans="1:8" s="5" customFormat="1">
      <c r="A1260" s="15">
        <v>1</v>
      </c>
      <c r="B1260" s="7" t="s">
        <v>77</v>
      </c>
      <c r="C1260" s="8" t="str">
        <f>Gia_VLieu!C4</f>
        <v>gram</v>
      </c>
      <c r="D1260" s="86">
        <f>Gia_VLieu!D4</f>
        <v>45000</v>
      </c>
      <c r="E1260" s="72">
        <v>2.5</v>
      </c>
      <c r="F1260" s="21">
        <f>D1260*E1260</f>
        <v>112500</v>
      </c>
      <c r="H1260" s="12">
        <v>1256</v>
      </c>
    </row>
    <row r="1261" spans="1:8" s="5" customFormat="1">
      <c r="A1261" s="15">
        <v>2</v>
      </c>
      <c r="B1261" s="7" t="s">
        <v>78</v>
      </c>
      <c r="C1261" s="8" t="str">
        <f>Gia_VLieu!C5</f>
        <v>hộp</v>
      </c>
      <c r="D1261" s="86">
        <f>Gia_VLieu!D5</f>
        <v>1450000</v>
      </c>
      <c r="E1261" s="72">
        <v>1.2</v>
      </c>
      <c r="F1261" s="21">
        <f t="shared" ref="F1261:F1269" si="89">D1261*E1261</f>
        <v>1740000</v>
      </c>
      <c r="H1261" s="12">
        <v>1257</v>
      </c>
    </row>
    <row r="1262" spans="1:8" s="5" customFormat="1">
      <c r="A1262" s="15">
        <v>3</v>
      </c>
      <c r="B1262" s="7" t="s">
        <v>79</v>
      </c>
      <c r="C1262" s="8" t="str">
        <f>Gia_VLieu!C6</f>
        <v>hộp</v>
      </c>
      <c r="D1262" s="86">
        <f>Gia_VLieu!D6</f>
        <v>250000</v>
      </c>
      <c r="E1262" s="72">
        <v>0.6</v>
      </c>
      <c r="F1262" s="21">
        <f t="shared" si="89"/>
        <v>150000</v>
      </c>
      <c r="H1262" s="12">
        <v>1258</v>
      </c>
    </row>
    <row r="1263" spans="1:8" s="5" customFormat="1">
      <c r="A1263" s="15">
        <v>4</v>
      </c>
      <c r="B1263" s="7" t="s">
        <v>80</v>
      </c>
      <c r="C1263" s="8" t="str">
        <f>Gia_VLieu!C7</f>
        <v>quyển</v>
      </c>
      <c r="D1263" s="86">
        <f>Gia_VLieu!D7</f>
        <v>10000</v>
      </c>
      <c r="E1263" s="72">
        <v>4</v>
      </c>
      <c r="F1263" s="21">
        <f t="shared" si="89"/>
        <v>40000</v>
      </c>
      <c r="H1263" s="12">
        <v>1259</v>
      </c>
    </row>
    <row r="1264" spans="1:8" s="5" customFormat="1">
      <c r="A1264" s="15">
        <v>5</v>
      </c>
      <c r="B1264" s="7" t="s">
        <v>21</v>
      </c>
      <c r="C1264" s="8" t="str">
        <f>Gia_VLieu!C8</f>
        <v>cái</v>
      </c>
      <c r="D1264" s="86">
        <f>Gia_VLieu!D8</f>
        <v>2000</v>
      </c>
      <c r="E1264" s="72">
        <v>6</v>
      </c>
      <c r="F1264" s="21">
        <f t="shared" si="89"/>
        <v>12000</v>
      </c>
      <c r="H1264" s="12">
        <v>1260</v>
      </c>
    </row>
    <row r="1265" spans="1:8" s="5" customFormat="1">
      <c r="A1265" s="15">
        <v>6</v>
      </c>
      <c r="B1265" s="7" t="s">
        <v>82</v>
      </c>
      <c r="C1265" s="8" t="str">
        <f>Gia_VLieu!C9</f>
        <v>cái</v>
      </c>
      <c r="D1265" s="86">
        <f>Gia_VLieu!D9</f>
        <v>8000</v>
      </c>
      <c r="E1265" s="72">
        <v>3</v>
      </c>
      <c r="F1265" s="21">
        <f t="shared" si="89"/>
        <v>24000</v>
      </c>
      <c r="H1265" s="12">
        <v>1261</v>
      </c>
    </row>
    <row r="1266" spans="1:8" s="5" customFormat="1">
      <c r="A1266" s="15">
        <v>7</v>
      </c>
      <c r="B1266" s="7" t="s">
        <v>83</v>
      </c>
      <c r="C1266" s="8" t="str">
        <f>Gia_VLieu!C10</f>
        <v>cái</v>
      </c>
      <c r="D1266" s="86">
        <f>Gia_VLieu!D10</f>
        <v>10000</v>
      </c>
      <c r="E1266" s="72">
        <v>2</v>
      </c>
      <c r="F1266" s="21">
        <f t="shared" si="89"/>
        <v>20000</v>
      </c>
      <c r="H1266" s="12">
        <v>1262</v>
      </c>
    </row>
    <row r="1267" spans="1:8" s="5" customFormat="1">
      <c r="A1267" s="15">
        <v>8</v>
      </c>
      <c r="B1267" s="7" t="s">
        <v>84</v>
      </c>
      <c r="C1267" s="8" t="str">
        <f>Gia_VLieu!C11</f>
        <v>hộp</v>
      </c>
      <c r="D1267" s="86">
        <f>Gia_VLieu!D11</f>
        <v>2500</v>
      </c>
      <c r="E1267" s="72">
        <v>1</v>
      </c>
      <c r="F1267" s="21">
        <f t="shared" si="89"/>
        <v>2500</v>
      </c>
      <c r="H1267" s="12">
        <v>1263</v>
      </c>
    </row>
    <row r="1268" spans="1:8" s="5" customFormat="1">
      <c r="A1268" s="15">
        <v>9</v>
      </c>
      <c r="B1268" s="7" t="s">
        <v>85</v>
      </c>
      <c r="C1268" s="8" t="str">
        <f>Gia_VLieu!C12</f>
        <v>hộp</v>
      </c>
      <c r="D1268" s="86">
        <f>Gia_VLieu!D12</f>
        <v>2000</v>
      </c>
      <c r="E1268" s="72">
        <v>2</v>
      </c>
      <c r="F1268" s="21">
        <f t="shared" si="89"/>
        <v>4000</v>
      </c>
      <c r="H1268" s="12">
        <v>1264</v>
      </c>
    </row>
    <row r="1269" spans="1:8" s="5" customFormat="1">
      <c r="A1269" s="15">
        <v>10</v>
      </c>
      <c r="B1269" s="7" t="s">
        <v>86</v>
      </c>
      <c r="C1269" s="8" t="str">
        <f>Gia_VLieu!C13</f>
        <v>tập</v>
      </c>
      <c r="D1269" s="86">
        <f>Gia_VLieu!D13</f>
        <v>8000</v>
      </c>
      <c r="E1269" s="72">
        <v>2</v>
      </c>
      <c r="F1269" s="21">
        <f t="shared" si="89"/>
        <v>16000</v>
      </c>
      <c r="H1269" s="12">
        <v>1265</v>
      </c>
    </row>
    <row r="1270" spans="1:8" s="5" customFormat="1">
      <c r="A1270" s="57">
        <v>11</v>
      </c>
      <c r="B1270" s="58" t="s">
        <v>87</v>
      </c>
      <c r="C1270" s="59" t="str">
        <f>Gia_VLieu!C14</f>
        <v>cái</v>
      </c>
      <c r="D1270" s="87">
        <f>Gia_VLieu!D14</f>
        <v>15000</v>
      </c>
      <c r="E1270" s="73">
        <v>3</v>
      </c>
      <c r="F1270" s="55">
        <f>D1270*E1270</f>
        <v>45000</v>
      </c>
      <c r="H1270" s="12">
        <v>1266</v>
      </c>
    </row>
    <row r="1271" spans="1:8" s="16" customFormat="1">
      <c r="A1271" s="14" t="e">
        <f>#REF!</f>
        <v>#REF!</v>
      </c>
      <c r="B1271" s="10" t="e">
        <f>#REF!</f>
        <v>#REF!</v>
      </c>
      <c r="C1271" s="9"/>
      <c r="D1271" s="92"/>
      <c r="E1271" s="66"/>
      <c r="F1271" s="22"/>
      <c r="H1271" s="12">
        <v>1267</v>
      </c>
    </row>
    <row r="1272" spans="1:8" s="46" customFormat="1">
      <c r="A1272" s="44" t="e">
        <f>#REF!</f>
        <v>#REF!</v>
      </c>
      <c r="B1272" s="45" t="e">
        <f>#REF!</f>
        <v>#REF!</v>
      </c>
      <c r="C1272" s="20"/>
      <c r="D1272" s="90"/>
      <c r="E1272" s="63"/>
      <c r="F1272" s="23">
        <f>F1274</f>
        <v>1846.5</v>
      </c>
      <c r="H1272" s="12">
        <v>1268</v>
      </c>
    </row>
    <row r="1273" spans="1:8" s="5" customFormat="1">
      <c r="A1273" s="15" t="e">
        <f>#REF!</f>
        <v>#REF!</v>
      </c>
      <c r="B1273" s="7" t="e">
        <f>#REF!</f>
        <v>#REF!</v>
      </c>
      <c r="C1273" s="8"/>
      <c r="D1273" s="86"/>
      <c r="E1273" s="43"/>
      <c r="F1273" s="21">
        <f>F1274</f>
        <v>1846.5</v>
      </c>
      <c r="H1273" s="12">
        <v>1269</v>
      </c>
    </row>
    <row r="1274" spans="1:8" s="5" customFormat="1">
      <c r="A1274" s="15" t="e">
        <f>#REF!</f>
        <v>#REF!</v>
      </c>
      <c r="B1274" s="7" t="e">
        <f>#REF!</f>
        <v>#REF!</v>
      </c>
      <c r="C1274" s="8"/>
      <c r="D1274" s="151">
        <f>Gia_VLieu!D$16</f>
        <v>1</v>
      </c>
      <c r="E1274" s="63"/>
      <c r="F1274" s="23">
        <f>SUM(F1275:F1285)*D1274</f>
        <v>1846.5</v>
      </c>
      <c r="H1274" s="12">
        <v>1270</v>
      </c>
    </row>
    <row r="1275" spans="1:8" s="5" customFormat="1">
      <c r="A1275" s="15">
        <v>1</v>
      </c>
      <c r="B1275" s="7" t="s">
        <v>77</v>
      </c>
      <c r="C1275" s="8" t="str">
        <f>Gia_VLieu!C4</f>
        <v>gram</v>
      </c>
      <c r="D1275" s="86">
        <f>Gia_VLieu!D4</f>
        <v>45000</v>
      </c>
      <c r="E1275" s="72">
        <v>1E-3</v>
      </c>
      <c r="F1275" s="21">
        <f>D1275*E1275</f>
        <v>45</v>
      </c>
      <c r="H1275" s="12">
        <v>1271</v>
      </c>
    </row>
    <row r="1276" spans="1:8" s="5" customFormat="1">
      <c r="A1276" s="15">
        <v>2</v>
      </c>
      <c r="B1276" s="7" t="s">
        <v>78</v>
      </c>
      <c r="C1276" s="8" t="str">
        <f>Gia_VLieu!C5</f>
        <v>hộp</v>
      </c>
      <c r="D1276" s="86">
        <f>Gia_VLieu!D5</f>
        <v>1450000</v>
      </c>
      <c r="E1276" s="72">
        <v>1E-3</v>
      </c>
      <c r="F1276" s="21">
        <f t="shared" ref="F1276:F1284" si="90">D1276*E1276</f>
        <v>1450</v>
      </c>
      <c r="H1276" s="12">
        <v>1272</v>
      </c>
    </row>
    <row r="1277" spans="1:8" s="5" customFormat="1">
      <c r="A1277" s="15">
        <v>3</v>
      </c>
      <c r="B1277" s="7" t="s">
        <v>79</v>
      </c>
      <c r="C1277" s="8" t="str">
        <f>Gia_VLieu!C6</f>
        <v>hộp</v>
      </c>
      <c r="D1277" s="86">
        <f>Gia_VLieu!D6</f>
        <v>250000</v>
      </c>
      <c r="E1277" s="72">
        <v>1E-3</v>
      </c>
      <c r="F1277" s="21">
        <f t="shared" si="90"/>
        <v>250</v>
      </c>
      <c r="H1277" s="12">
        <v>1273</v>
      </c>
    </row>
    <row r="1278" spans="1:8" s="5" customFormat="1">
      <c r="A1278" s="15">
        <v>4</v>
      </c>
      <c r="B1278" s="7" t="s">
        <v>80</v>
      </c>
      <c r="C1278" s="8" t="str">
        <f>Gia_VLieu!C7</f>
        <v>quyển</v>
      </c>
      <c r="D1278" s="86">
        <f>Gia_VLieu!D7</f>
        <v>10000</v>
      </c>
      <c r="E1278" s="72">
        <v>2E-3</v>
      </c>
      <c r="F1278" s="21">
        <f t="shared" si="90"/>
        <v>20</v>
      </c>
      <c r="H1278" s="12">
        <v>1274</v>
      </c>
    </row>
    <row r="1279" spans="1:8" s="5" customFormat="1">
      <c r="A1279" s="15">
        <v>5</v>
      </c>
      <c r="B1279" s="7" t="s">
        <v>21</v>
      </c>
      <c r="C1279" s="8" t="str">
        <f>Gia_VLieu!C8</f>
        <v>cái</v>
      </c>
      <c r="D1279" s="86">
        <f>Gia_VLieu!D8</f>
        <v>2000</v>
      </c>
      <c r="E1279" s="72">
        <v>0.01</v>
      </c>
      <c r="F1279" s="21">
        <f t="shared" si="90"/>
        <v>20</v>
      </c>
      <c r="H1279" s="12">
        <v>1275</v>
      </c>
    </row>
    <row r="1280" spans="1:8" s="5" customFormat="1">
      <c r="A1280" s="15">
        <v>6</v>
      </c>
      <c r="B1280" s="7" t="s">
        <v>82</v>
      </c>
      <c r="C1280" s="8" t="str">
        <f>Gia_VLieu!C9</f>
        <v>cái</v>
      </c>
      <c r="D1280" s="86">
        <f>Gia_VLieu!D9</f>
        <v>8000</v>
      </c>
      <c r="E1280" s="72">
        <v>1E-3</v>
      </c>
      <c r="F1280" s="21">
        <f t="shared" si="90"/>
        <v>8</v>
      </c>
      <c r="H1280" s="12">
        <v>1276</v>
      </c>
    </row>
    <row r="1281" spans="1:8" s="5" customFormat="1">
      <c r="A1281" s="15">
        <v>7</v>
      </c>
      <c r="B1281" s="7" t="s">
        <v>83</v>
      </c>
      <c r="C1281" s="8" t="str">
        <f>Gia_VLieu!C10</f>
        <v>cái</v>
      </c>
      <c r="D1281" s="86">
        <f>Gia_VLieu!D10</f>
        <v>10000</v>
      </c>
      <c r="E1281" s="72">
        <v>1E-3</v>
      </c>
      <c r="F1281" s="21">
        <f t="shared" si="90"/>
        <v>10</v>
      </c>
      <c r="H1281" s="12">
        <v>1277</v>
      </c>
    </row>
    <row r="1282" spans="1:8" s="5" customFormat="1">
      <c r="A1282" s="15">
        <v>8</v>
      </c>
      <c r="B1282" s="7" t="s">
        <v>84</v>
      </c>
      <c r="C1282" s="8" t="str">
        <f>Gia_VLieu!C11</f>
        <v>hộp</v>
      </c>
      <c r="D1282" s="86">
        <f>Gia_VLieu!D11</f>
        <v>2500</v>
      </c>
      <c r="E1282" s="72">
        <v>1E-3</v>
      </c>
      <c r="F1282" s="21">
        <f t="shared" si="90"/>
        <v>2.5</v>
      </c>
      <c r="H1282" s="12">
        <v>1278</v>
      </c>
    </row>
    <row r="1283" spans="1:8" s="5" customFormat="1">
      <c r="A1283" s="15">
        <v>9</v>
      </c>
      <c r="B1283" s="7" t="s">
        <v>85</v>
      </c>
      <c r="C1283" s="8" t="str">
        <f>Gia_VLieu!C12</f>
        <v>hộp</v>
      </c>
      <c r="D1283" s="86">
        <f>Gia_VLieu!D12</f>
        <v>2000</v>
      </c>
      <c r="E1283" s="72">
        <v>1E-3</v>
      </c>
      <c r="F1283" s="21">
        <f t="shared" si="90"/>
        <v>2</v>
      </c>
      <c r="H1283" s="12">
        <v>1279</v>
      </c>
    </row>
    <row r="1284" spans="1:8" s="5" customFormat="1">
      <c r="A1284" s="15">
        <v>10</v>
      </c>
      <c r="B1284" s="7" t="s">
        <v>86</v>
      </c>
      <c r="C1284" s="8" t="str">
        <f>Gia_VLieu!C13</f>
        <v>tập</v>
      </c>
      <c r="D1284" s="86">
        <f>Gia_VLieu!D13</f>
        <v>8000</v>
      </c>
      <c r="E1284" s="72">
        <v>3.0000000000000001E-3</v>
      </c>
      <c r="F1284" s="21">
        <f t="shared" si="90"/>
        <v>24</v>
      </c>
      <c r="H1284" s="12">
        <v>1280</v>
      </c>
    </row>
    <row r="1285" spans="1:8" s="5" customFormat="1">
      <c r="A1285" s="57">
        <v>11</v>
      </c>
      <c r="B1285" s="58" t="s">
        <v>87</v>
      </c>
      <c r="C1285" s="59" t="str">
        <f>Gia_VLieu!C14</f>
        <v>cái</v>
      </c>
      <c r="D1285" s="87">
        <f>Gia_VLieu!D14</f>
        <v>15000</v>
      </c>
      <c r="E1285" s="73">
        <v>1E-3</v>
      </c>
      <c r="F1285" s="55">
        <f>D1285*E1285</f>
        <v>15</v>
      </c>
      <c r="H1285" s="12">
        <v>1281</v>
      </c>
    </row>
    <row r="1286" spans="1:8" s="46" customFormat="1">
      <c r="A1286" s="44" t="e">
        <f>#REF!</f>
        <v>#REF!</v>
      </c>
      <c r="B1286" s="45" t="e">
        <f>#REF!</f>
        <v>#REF!</v>
      </c>
      <c r="C1286" s="20"/>
      <c r="D1286" s="151">
        <f>Gia_VLieu!D$16</f>
        <v>1</v>
      </c>
      <c r="E1286" s="63"/>
      <c r="F1286" s="23">
        <f>SUM(F1287:F1297)*D1286</f>
        <v>1818.5</v>
      </c>
      <c r="H1286" s="12">
        <v>1282</v>
      </c>
    </row>
    <row r="1287" spans="1:8" s="5" customFormat="1">
      <c r="A1287" s="15">
        <v>1</v>
      </c>
      <c r="B1287" s="7" t="s">
        <v>77</v>
      </c>
      <c r="C1287" s="8" t="str">
        <f>Gia_VLieu!C4</f>
        <v>gram</v>
      </c>
      <c r="D1287" s="86">
        <f>Gia_VLieu!D4</f>
        <v>45000</v>
      </c>
      <c r="E1287" s="72">
        <v>1E-3</v>
      </c>
      <c r="F1287" s="21">
        <f>D1287*E1287</f>
        <v>45</v>
      </c>
      <c r="H1287" s="12">
        <v>1283</v>
      </c>
    </row>
    <row r="1288" spans="1:8" s="5" customFormat="1">
      <c r="A1288" s="15">
        <v>2</v>
      </c>
      <c r="B1288" s="7" t="s">
        <v>78</v>
      </c>
      <c r="C1288" s="8" t="str">
        <f>Gia_VLieu!C5</f>
        <v>hộp</v>
      </c>
      <c r="D1288" s="86">
        <f>Gia_VLieu!D5</f>
        <v>1450000</v>
      </c>
      <c r="E1288" s="72">
        <v>1E-3</v>
      </c>
      <c r="F1288" s="21">
        <f t="shared" ref="F1288:F1296" si="91">D1288*E1288</f>
        <v>1450</v>
      </c>
      <c r="H1288" s="12">
        <v>1284</v>
      </c>
    </row>
    <row r="1289" spans="1:8" s="5" customFormat="1">
      <c r="A1289" s="15">
        <v>3</v>
      </c>
      <c r="B1289" s="7" t="s">
        <v>79</v>
      </c>
      <c r="C1289" s="8" t="str">
        <f>Gia_VLieu!C6</f>
        <v>hộp</v>
      </c>
      <c r="D1289" s="86">
        <f>Gia_VLieu!D6</f>
        <v>250000</v>
      </c>
      <c r="E1289" s="72">
        <v>1E-3</v>
      </c>
      <c r="F1289" s="21">
        <f t="shared" si="91"/>
        <v>250</v>
      </c>
      <c r="H1289" s="12">
        <v>1285</v>
      </c>
    </row>
    <row r="1290" spans="1:8" s="5" customFormat="1">
      <c r="A1290" s="15">
        <v>4</v>
      </c>
      <c r="B1290" s="7" t="s">
        <v>80</v>
      </c>
      <c r="C1290" s="8" t="str">
        <f>Gia_VLieu!C7</f>
        <v>quyển</v>
      </c>
      <c r="D1290" s="86">
        <f>Gia_VLieu!D7</f>
        <v>10000</v>
      </c>
      <c r="E1290" s="72">
        <v>1E-3</v>
      </c>
      <c r="F1290" s="21">
        <f t="shared" si="91"/>
        <v>10</v>
      </c>
      <c r="H1290" s="12">
        <v>1286</v>
      </c>
    </row>
    <row r="1291" spans="1:8" s="5" customFormat="1">
      <c r="A1291" s="15">
        <v>5</v>
      </c>
      <c r="B1291" s="7" t="s">
        <v>21</v>
      </c>
      <c r="C1291" s="8" t="str">
        <f>Gia_VLieu!C8</f>
        <v>cái</v>
      </c>
      <c r="D1291" s="86">
        <f>Gia_VLieu!D8</f>
        <v>2000</v>
      </c>
      <c r="E1291" s="72">
        <v>5.0000000000000001E-3</v>
      </c>
      <c r="F1291" s="21">
        <f t="shared" si="91"/>
        <v>10</v>
      </c>
      <c r="H1291" s="12">
        <v>1287</v>
      </c>
    </row>
    <row r="1292" spans="1:8" s="5" customFormat="1">
      <c r="A1292" s="15">
        <v>6</v>
      </c>
      <c r="B1292" s="7" t="s">
        <v>82</v>
      </c>
      <c r="C1292" s="8" t="str">
        <f>Gia_VLieu!C9</f>
        <v>cái</v>
      </c>
      <c r="D1292" s="86">
        <f>Gia_VLieu!D9</f>
        <v>8000</v>
      </c>
      <c r="E1292" s="72">
        <v>1E-3</v>
      </c>
      <c r="F1292" s="21">
        <f t="shared" si="91"/>
        <v>8</v>
      </c>
      <c r="H1292" s="12">
        <v>1288</v>
      </c>
    </row>
    <row r="1293" spans="1:8" s="5" customFormat="1">
      <c r="A1293" s="15">
        <v>7</v>
      </c>
      <c r="B1293" s="7" t="s">
        <v>83</v>
      </c>
      <c r="C1293" s="8" t="str">
        <f>Gia_VLieu!C10</f>
        <v>cái</v>
      </c>
      <c r="D1293" s="86">
        <f>Gia_VLieu!D10</f>
        <v>10000</v>
      </c>
      <c r="E1293" s="72">
        <v>1E-3</v>
      </c>
      <c r="F1293" s="21">
        <f t="shared" si="91"/>
        <v>10</v>
      </c>
      <c r="H1293" s="12">
        <v>1289</v>
      </c>
    </row>
    <row r="1294" spans="1:8" s="5" customFormat="1">
      <c r="A1294" s="15">
        <v>8</v>
      </c>
      <c r="B1294" s="7" t="s">
        <v>84</v>
      </c>
      <c r="C1294" s="8" t="str">
        <f>Gia_VLieu!C11</f>
        <v>hộp</v>
      </c>
      <c r="D1294" s="86">
        <f>Gia_VLieu!D11</f>
        <v>2500</v>
      </c>
      <c r="E1294" s="72">
        <v>1E-3</v>
      </c>
      <c r="F1294" s="21">
        <f t="shared" si="91"/>
        <v>2.5</v>
      </c>
      <c r="H1294" s="12">
        <v>1290</v>
      </c>
    </row>
    <row r="1295" spans="1:8" s="5" customFormat="1">
      <c r="A1295" s="15">
        <v>9</v>
      </c>
      <c r="B1295" s="7" t="s">
        <v>85</v>
      </c>
      <c r="C1295" s="8" t="str">
        <f>Gia_VLieu!C12</f>
        <v>hộp</v>
      </c>
      <c r="D1295" s="86">
        <f>Gia_VLieu!D12</f>
        <v>2000</v>
      </c>
      <c r="E1295" s="72">
        <v>1E-3</v>
      </c>
      <c r="F1295" s="21">
        <f t="shared" si="91"/>
        <v>2</v>
      </c>
      <c r="H1295" s="12">
        <v>1291</v>
      </c>
    </row>
    <row r="1296" spans="1:8" s="5" customFormat="1">
      <c r="A1296" s="15">
        <v>10</v>
      </c>
      <c r="B1296" s="7" t="s">
        <v>86</v>
      </c>
      <c r="C1296" s="8" t="str">
        <f>Gia_VLieu!C13</f>
        <v>tập</v>
      </c>
      <c r="D1296" s="86">
        <f>Gia_VLieu!D13</f>
        <v>8000</v>
      </c>
      <c r="E1296" s="72">
        <v>2E-3</v>
      </c>
      <c r="F1296" s="21">
        <f t="shared" si="91"/>
        <v>16</v>
      </c>
      <c r="H1296" s="12">
        <v>1292</v>
      </c>
    </row>
    <row r="1297" spans="1:8" s="5" customFormat="1">
      <c r="A1297" s="57">
        <v>11</v>
      </c>
      <c r="B1297" s="58" t="s">
        <v>87</v>
      </c>
      <c r="C1297" s="59" t="str">
        <f>Gia_VLieu!C14</f>
        <v>cái</v>
      </c>
      <c r="D1297" s="87">
        <f>Gia_VLieu!D14</f>
        <v>15000</v>
      </c>
      <c r="E1297" s="73">
        <v>1E-3</v>
      </c>
      <c r="F1297" s="55">
        <f>D1297*E1297</f>
        <v>15</v>
      </c>
      <c r="H1297" s="12">
        <v>1293</v>
      </c>
    </row>
    <row r="1298" spans="1:8" s="46" customFormat="1">
      <c r="A1298" s="44" t="e">
        <f>#REF!</f>
        <v>#REF!</v>
      </c>
      <c r="B1298" s="45" t="e">
        <f>#REF!</f>
        <v>#REF!</v>
      </c>
      <c r="C1298" s="20"/>
      <c r="D1298" s="90"/>
      <c r="E1298" s="63"/>
      <c r="F1298" s="23"/>
      <c r="H1298" s="12">
        <v>1294</v>
      </c>
    </row>
    <row r="1299" spans="1:8" s="5" customFormat="1">
      <c r="A1299" s="57" t="e">
        <f>#REF!</f>
        <v>#REF!</v>
      </c>
      <c r="B1299" s="58" t="e">
        <f>#REF!</f>
        <v>#REF!</v>
      </c>
      <c r="C1299" s="59"/>
      <c r="D1299" s="87"/>
      <c r="E1299" s="64"/>
      <c r="F1299" s="55"/>
      <c r="H1299" s="12">
        <v>1295</v>
      </c>
    </row>
    <row r="1300" spans="1:8" s="16" customFormat="1">
      <c r="A1300" s="48" t="e">
        <f>#REF!</f>
        <v>#REF!</v>
      </c>
      <c r="B1300" s="49" t="e">
        <f>#REF!</f>
        <v>#REF!</v>
      </c>
      <c r="C1300" s="50"/>
      <c r="D1300" s="91"/>
      <c r="E1300" s="65"/>
      <c r="F1300" s="40"/>
      <c r="H1300" s="12">
        <v>1296</v>
      </c>
    </row>
    <row r="1301" spans="1:8" s="46" customFormat="1">
      <c r="A1301" s="44" t="e">
        <f>#REF!</f>
        <v>#REF!</v>
      </c>
      <c r="B1301" s="45" t="e">
        <f>#REF!</f>
        <v>#REF!</v>
      </c>
      <c r="C1301" s="20"/>
      <c r="D1301" s="151">
        <f>Gia_VLieu!D$16</f>
        <v>1</v>
      </c>
      <c r="E1301" s="63"/>
      <c r="F1301" s="23">
        <f>SUM(F1302:F1312)*D1301</f>
        <v>2330000</v>
      </c>
      <c r="H1301" s="12">
        <v>1297</v>
      </c>
    </row>
    <row r="1302" spans="1:8" s="5" customFormat="1">
      <c r="A1302" s="15">
        <v>1</v>
      </c>
      <c r="B1302" s="7" t="s">
        <v>77</v>
      </c>
      <c r="C1302" s="8" t="str">
        <f>Gia_VLieu!C4</f>
        <v>gram</v>
      </c>
      <c r="D1302" s="86">
        <f>Gia_VLieu!D4</f>
        <v>45000</v>
      </c>
      <c r="E1302" s="72">
        <v>10</v>
      </c>
      <c r="F1302" s="21">
        <f>D1302*E1302</f>
        <v>450000</v>
      </c>
      <c r="H1302" s="12">
        <v>1298</v>
      </c>
    </row>
    <row r="1303" spans="1:8" s="5" customFormat="1">
      <c r="A1303" s="15">
        <v>2</v>
      </c>
      <c r="B1303" s="7" t="s">
        <v>78</v>
      </c>
      <c r="C1303" s="8" t="str">
        <f>Gia_VLieu!C5</f>
        <v>hộp</v>
      </c>
      <c r="D1303" s="86">
        <f>Gia_VLieu!D5</f>
        <v>1450000</v>
      </c>
      <c r="E1303" s="72">
        <v>0.5</v>
      </c>
      <c r="F1303" s="21">
        <f t="shared" ref="F1303:F1311" si="92">D1303*E1303</f>
        <v>725000</v>
      </c>
      <c r="H1303" s="12">
        <v>1299</v>
      </c>
    </row>
    <row r="1304" spans="1:8" s="5" customFormat="1">
      <c r="A1304" s="15">
        <v>3</v>
      </c>
      <c r="B1304" s="7" t="s">
        <v>79</v>
      </c>
      <c r="C1304" s="8" t="str">
        <f>Gia_VLieu!C6</f>
        <v>hộp</v>
      </c>
      <c r="D1304" s="86">
        <f>Gia_VLieu!D6</f>
        <v>250000</v>
      </c>
      <c r="E1304" s="72">
        <v>0.4</v>
      </c>
      <c r="F1304" s="21">
        <f t="shared" si="92"/>
        <v>100000</v>
      </c>
      <c r="H1304" s="12">
        <v>1300</v>
      </c>
    </row>
    <row r="1305" spans="1:8" s="5" customFormat="1">
      <c r="A1305" s="15">
        <v>4</v>
      </c>
      <c r="B1305" s="7" t="s">
        <v>80</v>
      </c>
      <c r="C1305" s="8" t="str">
        <f>Gia_VLieu!C7</f>
        <v>quyển</v>
      </c>
      <c r="D1305" s="86">
        <f>Gia_VLieu!D7</f>
        <v>10000</v>
      </c>
      <c r="E1305" s="72">
        <v>30</v>
      </c>
      <c r="F1305" s="21">
        <f t="shared" si="92"/>
        <v>300000</v>
      </c>
      <c r="H1305" s="12">
        <v>1301</v>
      </c>
    </row>
    <row r="1306" spans="1:8" s="5" customFormat="1">
      <c r="A1306" s="15">
        <v>5</v>
      </c>
      <c r="B1306" s="7" t="s">
        <v>21</v>
      </c>
      <c r="C1306" s="8" t="str">
        <f>Gia_VLieu!C8</f>
        <v>cái</v>
      </c>
      <c r="D1306" s="86">
        <f>Gia_VLieu!D8</f>
        <v>2000</v>
      </c>
      <c r="E1306" s="72">
        <v>32</v>
      </c>
      <c r="F1306" s="21">
        <f t="shared" si="92"/>
        <v>64000</v>
      </c>
      <c r="H1306" s="12">
        <v>1302</v>
      </c>
    </row>
    <row r="1307" spans="1:8" s="5" customFormat="1">
      <c r="A1307" s="15">
        <v>6</v>
      </c>
      <c r="B1307" s="7" t="s">
        <v>82</v>
      </c>
      <c r="C1307" s="8" t="str">
        <f>Gia_VLieu!C9</f>
        <v>cái</v>
      </c>
      <c r="D1307" s="86">
        <f>Gia_VLieu!D9</f>
        <v>8000</v>
      </c>
      <c r="E1307" s="72">
        <v>15</v>
      </c>
      <c r="F1307" s="21">
        <f t="shared" si="92"/>
        <v>120000</v>
      </c>
      <c r="H1307" s="12">
        <v>1303</v>
      </c>
    </row>
    <row r="1308" spans="1:8" s="5" customFormat="1">
      <c r="A1308" s="15">
        <v>7</v>
      </c>
      <c r="B1308" s="7" t="s">
        <v>83</v>
      </c>
      <c r="C1308" s="8" t="str">
        <f>Gia_VLieu!C10</f>
        <v>cái</v>
      </c>
      <c r="D1308" s="86">
        <f>Gia_VLieu!D10</f>
        <v>10000</v>
      </c>
      <c r="E1308" s="72">
        <v>15</v>
      </c>
      <c r="F1308" s="21">
        <f t="shared" si="92"/>
        <v>150000</v>
      </c>
      <c r="H1308" s="12">
        <v>1304</v>
      </c>
    </row>
    <row r="1309" spans="1:8" s="5" customFormat="1">
      <c r="A1309" s="15">
        <v>8</v>
      </c>
      <c r="B1309" s="7" t="s">
        <v>84</v>
      </c>
      <c r="C1309" s="8" t="str">
        <f>Gia_VLieu!C11</f>
        <v>hộp</v>
      </c>
      <c r="D1309" s="86">
        <f>Gia_VLieu!D11</f>
        <v>2500</v>
      </c>
      <c r="E1309" s="72">
        <v>10</v>
      </c>
      <c r="F1309" s="21">
        <f t="shared" si="92"/>
        <v>25000</v>
      </c>
      <c r="H1309" s="12">
        <v>1305</v>
      </c>
    </row>
    <row r="1310" spans="1:8" s="5" customFormat="1">
      <c r="A1310" s="15">
        <v>9</v>
      </c>
      <c r="B1310" s="7" t="s">
        <v>85</v>
      </c>
      <c r="C1310" s="8" t="str">
        <f>Gia_VLieu!C12</f>
        <v>hộp</v>
      </c>
      <c r="D1310" s="86">
        <f>Gia_VLieu!D12</f>
        <v>2000</v>
      </c>
      <c r="E1310" s="72">
        <v>8</v>
      </c>
      <c r="F1310" s="21">
        <f t="shared" si="92"/>
        <v>16000</v>
      </c>
      <c r="H1310" s="12">
        <v>1306</v>
      </c>
    </row>
    <row r="1311" spans="1:8" s="5" customFormat="1">
      <c r="A1311" s="15">
        <v>10</v>
      </c>
      <c r="B1311" s="7" t="s">
        <v>86</v>
      </c>
      <c r="C1311" s="8" t="str">
        <f>Gia_VLieu!C13</f>
        <v>tập</v>
      </c>
      <c r="D1311" s="86">
        <f>Gia_VLieu!D13</f>
        <v>8000</v>
      </c>
      <c r="E1311" s="72">
        <v>10</v>
      </c>
      <c r="F1311" s="21">
        <f t="shared" si="92"/>
        <v>80000</v>
      </c>
      <c r="H1311" s="12">
        <v>1307</v>
      </c>
    </row>
    <row r="1312" spans="1:8" s="5" customFormat="1">
      <c r="A1312" s="57">
        <v>11</v>
      </c>
      <c r="B1312" s="58" t="s">
        <v>87</v>
      </c>
      <c r="C1312" s="59" t="str">
        <f>Gia_VLieu!C14</f>
        <v>cái</v>
      </c>
      <c r="D1312" s="87">
        <f>Gia_VLieu!D14</f>
        <v>15000</v>
      </c>
      <c r="E1312" s="73">
        <v>20</v>
      </c>
      <c r="F1312" s="55">
        <f>D1312*E1312</f>
        <v>300000</v>
      </c>
      <c r="H1312" s="12">
        <v>1308</v>
      </c>
    </row>
    <row r="1313" spans="1:8" s="46" customFormat="1">
      <c r="A1313" s="44" t="e">
        <f>#REF!</f>
        <v>#REF!</v>
      </c>
      <c r="B1313" s="45" t="e">
        <f>#REF!</f>
        <v>#REF!</v>
      </c>
      <c r="C1313" s="20"/>
      <c r="D1313" s="151">
        <f>Gia_VLieu!D$16</f>
        <v>1</v>
      </c>
      <c r="E1313" s="63"/>
      <c r="F1313" s="23">
        <f>SUM(F1314:F1324)*D1313</f>
        <v>1114500</v>
      </c>
      <c r="H1313" s="12">
        <v>1309</v>
      </c>
    </row>
    <row r="1314" spans="1:8" s="5" customFormat="1">
      <c r="A1314" s="15">
        <v>1</v>
      </c>
      <c r="B1314" s="7" t="s">
        <v>77</v>
      </c>
      <c r="C1314" s="8" t="str">
        <f>Gia_VLieu!C4</f>
        <v>gram</v>
      </c>
      <c r="D1314" s="86">
        <f>Gia_VLieu!D4</f>
        <v>45000</v>
      </c>
      <c r="E1314" s="72">
        <v>2</v>
      </c>
      <c r="F1314" s="21">
        <f>D1314*E1314</f>
        <v>90000</v>
      </c>
      <c r="H1314" s="12">
        <v>1310</v>
      </c>
    </row>
    <row r="1315" spans="1:8" s="5" customFormat="1">
      <c r="A1315" s="15">
        <v>2</v>
      </c>
      <c r="B1315" s="7" t="s">
        <v>78</v>
      </c>
      <c r="C1315" s="8" t="str">
        <f>Gia_VLieu!C5</f>
        <v>hộp</v>
      </c>
      <c r="D1315" s="86">
        <f>Gia_VLieu!D5</f>
        <v>1450000</v>
      </c>
      <c r="E1315" s="72">
        <v>0.1</v>
      </c>
      <c r="F1315" s="21">
        <f t="shared" ref="F1315:F1323" si="93">D1315*E1315</f>
        <v>145000</v>
      </c>
      <c r="H1315" s="12">
        <v>1311</v>
      </c>
    </row>
    <row r="1316" spans="1:8" s="5" customFormat="1">
      <c r="A1316" s="15">
        <v>3</v>
      </c>
      <c r="B1316" s="7" t="s">
        <v>79</v>
      </c>
      <c r="C1316" s="8" t="str">
        <f>Gia_VLieu!C6</f>
        <v>hộp</v>
      </c>
      <c r="D1316" s="86">
        <f>Gia_VLieu!D6</f>
        <v>250000</v>
      </c>
      <c r="E1316" s="72">
        <v>0.05</v>
      </c>
      <c r="F1316" s="21">
        <f t="shared" si="93"/>
        <v>12500</v>
      </c>
      <c r="H1316" s="12">
        <v>1312</v>
      </c>
    </row>
    <row r="1317" spans="1:8" s="5" customFormat="1">
      <c r="A1317" s="15">
        <v>4</v>
      </c>
      <c r="B1317" s="7" t="s">
        <v>80</v>
      </c>
      <c r="C1317" s="8" t="str">
        <f>Gia_VLieu!C7</f>
        <v>quyển</v>
      </c>
      <c r="D1317" s="86">
        <f>Gia_VLieu!D7</f>
        <v>10000</v>
      </c>
      <c r="E1317" s="72">
        <v>25</v>
      </c>
      <c r="F1317" s="21">
        <f t="shared" si="93"/>
        <v>250000</v>
      </c>
      <c r="H1317" s="12">
        <v>1313</v>
      </c>
    </row>
    <row r="1318" spans="1:8" s="5" customFormat="1">
      <c r="A1318" s="15">
        <v>5</v>
      </c>
      <c r="B1318" s="7" t="s">
        <v>21</v>
      </c>
      <c r="C1318" s="8" t="str">
        <f>Gia_VLieu!C8</f>
        <v>cái</v>
      </c>
      <c r="D1318" s="86">
        <f>Gia_VLieu!D8</f>
        <v>2000</v>
      </c>
      <c r="E1318" s="72">
        <v>30</v>
      </c>
      <c r="F1318" s="21">
        <f t="shared" si="93"/>
        <v>60000</v>
      </c>
      <c r="H1318" s="12">
        <v>1314</v>
      </c>
    </row>
    <row r="1319" spans="1:8" s="5" customFormat="1">
      <c r="A1319" s="15">
        <v>6</v>
      </c>
      <c r="B1319" s="7" t="s">
        <v>82</v>
      </c>
      <c r="C1319" s="8" t="str">
        <f>Gia_VLieu!C9</f>
        <v>cái</v>
      </c>
      <c r="D1319" s="86">
        <f>Gia_VLieu!D9</f>
        <v>8000</v>
      </c>
      <c r="E1319" s="72">
        <v>14</v>
      </c>
      <c r="F1319" s="21">
        <f t="shared" si="93"/>
        <v>112000</v>
      </c>
      <c r="H1319" s="12">
        <v>1315</v>
      </c>
    </row>
    <row r="1320" spans="1:8" s="5" customFormat="1">
      <c r="A1320" s="15">
        <v>7</v>
      </c>
      <c r="B1320" s="7" t="s">
        <v>83</v>
      </c>
      <c r="C1320" s="8" t="str">
        <f>Gia_VLieu!C10</f>
        <v>cái</v>
      </c>
      <c r="D1320" s="86">
        <f>Gia_VLieu!D10</f>
        <v>10000</v>
      </c>
      <c r="E1320" s="72">
        <v>14</v>
      </c>
      <c r="F1320" s="21">
        <f t="shared" si="93"/>
        <v>140000</v>
      </c>
      <c r="H1320" s="12">
        <v>1316</v>
      </c>
    </row>
    <row r="1321" spans="1:8" s="5" customFormat="1">
      <c r="A1321" s="15">
        <v>8</v>
      </c>
      <c r="B1321" s="7" t="s">
        <v>84</v>
      </c>
      <c r="C1321" s="8" t="str">
        <f>Gia_VLieu!C11</f>
        <v>hộp</v>
      </c>
      <c r="D1321" s="86">
        <f>Gia_VLieu!D11</f>
        <v>2500</v>
      </c>
      <c r="E1321" s="72">
        <v>8</v>
      </c>
      <c r="F1321" s="21">
        <f t="shared" si="93"/>
        <v>20000</v>
      </c>
      <c r="H1321" s="12">
        <v>1317</v>
      </c>
    </row>
    <row r="1322" spans="1:8" s="5" customFormat="1">
      <c r="A1322" s="15">
        <v>9</v>
      </c>
      <c r="B1322" s="7" t="s">
        <v>85</v>
      </c>
      <c r="C1322" s="8" t="str">
        <f>Gia_VLieu!C12</f>
        <v>hộp</v>
      </c>
      <c r="D1322" s="86">
        <f>Gia_VLieu!D12</f>
        <v>2000</v>
      </c>
      <c r="E1322" s="72">
        <v>6</v>
      </c>
      <c r="F1322" s="21">
        <f t="shared" si="93"/>
        <v>12000</v>
      </c>
      <c r="H1322" s="12">
        <v>1318</v>
      </c>
    </row>
    <row r="1323" spans="1:8" s="5" customFormat="1">
      <c r="A1323" s="15">
        <v>10</v>
      </c>
      <c r="B1323" s="7" t="s">
        <v>86</v>
      </c>
      <c r="C1323" s="8" t="str">
        <f>Gia_VLieu!C13</f>
        <v>tập</v>
      </c>
      <c r="D1323" s="86">
        <f>Gia_VLieu!D13</f>
        <v>8000</v>
      </c>
      <c r="E1323" s="72">
        <v>6</v>
      </c>
      <c r="F1323" s="21">
        <f t="shared" si="93"/>
        <v>48000</v>
      </c>
      <c r="H1323" s="12">
        <v>1319</v>
      </c>
    </row>
    <row r="1324" spans="1:8" s="5" customFormat="1">
      <c r="A1324" s="57">
        <v>11</v>
      </c>
      <c r="B1324" s="58" t="s">
        <v>87</v>
      </c>
      <c r="C1324" s="59" t="str">
        <f>Gia_VLieu!C14</f>
        <v>cái</v>
      </c>
      <c r="D1324" s="87">
        <f>Gia_VLieu!D14</f>
        <v>15000</v>
      </c>
      <c r="E1324" s="73">
        <v>15</v>
      </c>
      <c r="F1324" s="55">
        <f>D1324*E1324</f>
        <v>225000</v>
      </c>
      <c r="H1324" s="12">
        <v>1320</v>
      </c>
    </row>
    <row r="1325" spans="1:8" s="16" customFormat="1">
      <c r="A1325" s="14" t="e">
        <f>#REF!</f>
        <v>#REF!</v>
      </c>
      <c r="B1325" s="10" t="e">
        <f>#REF!</f>
        <v>#REF!</v>
      </c>
      <c r="C1325" s="9"/>
      <c r="D1325" s="92"/>
      <c r="E1325" s="66"/>
      <c r="F1325" s="22"/>
      <c r="H1325" s="12">
        <v>1321</v>
      </c>
    </row>
    <row r="1326" spans="1:8" s="5" customFormat="1">
      <c r="A1326" s="15" t="e">
        <f>#REF!</f>
        <v>#REF!</v>
      </c>
      <c r="B1326" s="7" t="e">
        <f>#REF!</f>
        <v>#REF!</v>
      </c>
      <c r="C1326" s="8"/>
      <c r="D1326" s="151">
        <f>Gia_VLieu!D$16</f>
        <v>1</v>
      </c>
      <c r="E1326" s="63"/>
      <c r="F1326" s="23">
        <f>SUM(F1327:F1337)*D1326</f>
        <v>9154500</v>
      </c>
      <c r="H1326" s="12">
        <v>1322</v>
      </c>
    </row>
    <row r="1327" spans="1:8" s="5" customFormat="1">
      <c r="A1327" s="15">
        <v>1</v>
      </c>
      <c r="B1327" s="7" t="s">
        <v>77</v>
      </c>
      <c r="C1327" s="8" t="str">
        <f>Gia_VLieu!C4</f>
        <v>gram</v>
      </c>
      <c r="D1327" s="86">
        <f>Gia_VLieu!D4</f>
        <v>45000</v>
      </c>
      <c r="E1327" s="72">
        <v>40</v>
      </c>
      <c r="F1327" s="21">
        <f>D1327*E1327</f>
        <v>1800000</v>
      </c>
      <c r="H1327" s="12">
        <v>1323</v>
      </c>
    </row>
    <row r="1328" spans="1:8" s="5" customFormat="1">
      <c r="A1328" s="15">
        <v>2</v>
      </c>
      <c r="B1328" s="7" t="s">
        <v>78</v>
      </c>
      <c r="C1328" s="8" t="str">
        <f>Gia_VLieu!C5</f>
        <v>hộp</v>
      </c>
      <c r="D1328" s="86">
        <f>Gia_VLieu!D5</f>
        <v>1450000</v>
      </c>
      <c r="E1328" s="72">
        <v>3.5</v>
      </c>
      <c r="F1328" s="21">
        <f t="shared" ref="F1328:F1336" si="94">D1328*E1328</f>
        <v>5075000</v>
      </c>
      <c r="H1328" s="12">
        <v>1324</v>
      </c>
    </row>
    <row r="1329" spans="1:8" s="5" customFormat="1">
      <c r="A1329" s="15">
        <v>3</v>
      </c>
      <c r="B1329" s="7" t="s">
        <v>79</v>
      </c>
      <c r="C1329" s="8" t="str">
        <f>Gia_VLieu!C6</f>
        <v>hộp</v>
      </c>
      <c r="D1329" s="86">
        <f>Gia_VLieu!D6</f>
        <v>250000</v>
      </c>
      <c r="E1329" s="72">
        <v>1.2</v>
      </c>
      <c r="F1329" s="21">
        <f t="shared" si="94"/>
        <v>300000</v>
      </c>
      <c r="H1329" s="12">
        <v>1325</v>
      </c>
    </row>
    <row r="1330" spans="1:8" s="5" customFormat="1">
      <c r="A1330" s="15">
        <v>4</v>
      </c>
      <c r="B1330" s="7" t="s">
        <v>80</v>
      </c>
      <c r="C1330" s="8" t="str">
        <f>Gia_VLieu!C7</f>
        <v>quyển</v>
      </c>
      <c r="D1330" s="86">
        <f>Gia_VLieu!D7</f>
        <v>10000</v>
      </c>
      <c r="E1330" s="72">
        <v>35</v>
      </c>
      <c r="F1330" s="21">
        <f t="shared" si="94"/>
        <v>350000</v>
      </c>
      <c r="H1330" s="12">
        <v>1326</v>
      </c>
    </row>
    <row r="1331" spans="1:8" s="5" customFormat="1">
      <c r="A1331" s="15">
        <v>5</v>
      </c>
      <c r="B1331" s="7" t="s">
        <v>21</v>
      </c>
      <c r="C1331" s="8" t="str">
        <f>Gia_VLieu!C8</f>
        <v>cái</v>
      </c>
      <c r="D1331" s="86">
        <f>Gia_VLieu!D8</f>
        <v>2000</v>
      </c>
      <c r="E1331" s="72">
        <v>50</v>
      </c>
      <c r="F1331" s="21">
        <f t="shared" si="94"/>
        <v>100000</v>
      </c>
      <c r="H1331" s="12">
        <v>1327</v>
      </c>
    </row>
    <row r="1332" spans="1:8" s="5" customFormat="1">
      <c r="A1332" s="15">
        <v>6</v>
      </c>
      <c r="B1332" s="7" t="s">
        <v>82</v>
      </c>
      <c r="C1332" s="8" t="str">
        <f>Gia_VLieu!C9</f>
        <v>cái</v>
      </c>
      <c r="D1332" s="86">
        <f>Gia_VLieu!D9</f>
        <v>8000</v>
      </c>
      <c r="E1332" s="72">
        <v>40</v>
      </c>
      <c r="F1332" s="21">
        <f t="shared" si="94"/>
        <v>320000</v>
      </c>
      <c r="H1332" s="12">
        <v>1328</v>
      </c>
    </row>
    <row r="1333" spans="1:8" s="5" customFormat="1">
      <c r="A1333" s="15">
        <v>7</v>
      </c>
      <c r="B1333" s="7" t="s">
        <v>83</v>
      </c>
      <c r="C1333" s="8" t="str">
        <f>Gia_VLieu!C10</f>
        <v>cái</v>
      </c>
      <c r="D1333" s="86">
        <f>Gia_VLieu!D10</f>
        <v>10000</v>
      </c>
      <c r="E1333" s="72">
        <v>40</v>
      </c>
      <c r="F1333" s="21">
        <f t="shared" si="94"/>
        <v>400000</v>
      </c>
      <c r="H1333" s="12">
        <v>1329</v>
      </c>
    </row>
    <row r="1334" spans="1:8" s="5" customFormat="1">
      <c r="A1334" s="15">
        <v>8</v>
      </c>
      <c r="B1334" s="7" t="s">
        <v>84</v>
      </c>
      <c r="C1334" s="8" t="str">
        <f>Gia_VLieu!C11</f>
        <v>hộp</v>
      </c>
      <c r="D1334" s="86">
        <f>Gia_VLieu!D11</f>
        <v>2500</v>
      </c>
      <c r="E1334" s="72">
        <v>35</v>
      </c>
      <c r="F1334" s="21">
        <f t="shared" si="94"/>
        <v>87500</v>
      </c>
      <c r="H1334" s="12">
        <v>1330</v>
      </c>
    </row>
    <row r="1335" spans="1:8" s="5" customFormat="1">
      <c r="A1335" s="15">
        <v>9</v>
      </c>
      <c r="B1335" s="7" t="s">
        <v>85</v>
      </c>
      <c r="C1335" s="8" t="str">
        <f>Gia_VLieu!C12</f>
        <v>hộp</v>
      </c>
      <c r="D1335" s="86">
        <f>Gia_VLieu!D12</f>
        <v>2000</v>
      </c>
      <c r="E1335" s="72">
        <v>21</v>
      </c>
      <c r="F1335" s="21">
        <f t="shared" si="94"/>
        <v>42000</v>
      </c>
      <c r="H1335" s="12">
        <v>1331</v>
      </c>
    </row>
    <row r="1336" spans="1:8" s="5" customFormat="1">
      <c r="A1336" s="15">
        <v>10</v>
      </c>
      <c r="B1336" s="7" t="s">
        <v>86</v>
      </c>
      <c r="C1336" s="8" t="str">
        <f>Gia_VLieu!C13</f>
        <v>tập</v>
      </c>
      <c r="D1336" s="86">
        <f>Gia_VLieu!D13</f>
        <v>8000</v>
      </c>
      <c r="E1336" s="72">
        <v>25</v>
      </c>
      <c r="F1336" s="21">
        <f t="shared" si="94"/>
        <v>200000</v>
      </c>
      <c r="H1336" s="12">
        <v>1332</v>
      </c>
    </row>
    <row r="1337" spans="1:8" s="5" customFormat="1">
      <c r="A1337" s="57">
        <v>11</v>
      </c>
      <c r="B1337" s="58" t="s">
        <v>87</v>
      </c>
      <c r="C1337" s="59" t="str">
        <f>Gia_VLieu!C14</f>
        <v>cái</v>
      </c>
      <c r="D1337" s="87">
        <f>Gia_VLieu!D14</f>
        <v>15000</v>
      </c>
      <c r="E1337" s="73">
        <v>32</v>
      </c>
      <c r="F1337" s="55">
        <f>D1337*E1337</f>
        <v>480000</v>
      </c>
      <c r="H1337" s="12">
        <v>1333</v>
      </c>
    </row>
    <row r="1338" spans="1:8" s="16" customFormat="1">
      <c r="A1338" s="14" t="e">
        <f>#REF!</f>
        <v>#REF!</v>
      </c>
      <c r="B1338" s="10" t="e">
        <f>#REF!</f>
        <v>#REF!</v>
      </c>
      <c r="C1338" s="9"/>
      <c r="D1338" s="92"/>
      <c r="E1338" s="66"/>
      <c r="F1338" s="22"/>
      <c r="H1338" s="12">
        <v>1334</v>
      </c>
    </row>
    <row r="1339" spans="1:8" s="46" customFormat="1">
      <c r="A1339" s="44" t="e">
        <f>#REF!</f>
        <v>#REF!</v>
      </c>
      <c r="B1339" s="45" t="e">
        <f>#REF!</f>
        <v>#REF!</v>
      </c>
      <c r="C1339" s="20"/>
      <c r="D1339" s="90"/>
      <c r="E1339" s="63"/>
      <c r="F1339" s="23"/>
      <c r="H1339" s="12">
        <v>1335</v>
      </c>
    </row>
    <row r="1340" spans="1:8" s="46" customFormat="1">
      <c r="A1340" s="44" t="e">
        <f>#REF!</f>
        <v>#REF!</v>
      </c>
      <c r="B1340" s="45" t="e">
        <f>#REF!</f>
        <v>#REF!</v>
      </c>
      <c r="C1340" s="20"/>
      <c r="D1340" s="90"/>
      <c r="E1340" s="63"/>
      <c r="F1340" s="23"/>
      <c r="H1340" s="12">
        <v>1336</v>
      </c>
    </row>
    <row r="1341" spans="1:8" s="16" customFormat="1">
      <c r="A1341" s="14" t="e">
        <f>#REF!</f>
        <v>#REF!</v>
      </c>
      <c r="B1341" s="10" t="e">
        <f>#REF!</f>
        <v>#REF!</v>
      </c>
      <c r="C1341" s="9"/>
      <c r="D1341" s="92"/>
      <c r="E1341" s="66"/>
      <c r="F1341" s="22"/>
      <c r="H1341" s="12">
        <v>1337</v>
      </c>
    </row>
    <row r="1342" spans="1:8" s="46" customFormat="1">
      <c r="A1342" s="44" t="e">
        <f>#REF!</f>
        <v>#REF!</v>
      </c>
      <c r="B1342" s="45" t="e">
        <f>#REF!</f>
        <v>#REF!</v>
      </c>
      <c r="C1342" s="20"/>
      <c r="D1342" s="90"/>
      <c r="E1342" s="63"/>
      <c r="F1342" s="23">
        <f>F1345</f>
        <v>1173200</v>
      </c>
      <c r="H1342" s="12">
        <v>1338</v>
      </c>
    </row>
    <row r="1343" spans="1:8" s="5" customFormat="1">
      <c r="A1343" s="15" t="e">
        <f>#REF!</f>
        <v>#REF!</v>
      </c>
      <c r="B1343" s="7" t="e">
        <f>#REF!</f>
        <v>#REF!</v>
      </c>
      <c r="C1343" s="8"/>
      <c r="D1343" s="86"/>
      <c r="E1343" s="43"/>
      <c r="F1343" s="21">
        <f>F1345</f>
        <v>1173200</v>
      </c>
      <c r="H1343" s="12">
        <v>1339</v>
      </c>
    </row>
    <row r="1344" spans="1:8" s="5" customFormat="1">
      <c r="A1344" s="15" t="e">
        <f>#REF!</f>
        <v>#REF!</v>
      </c>
      <c r="B1344" s="7" t="e">
        <f>#REF!</f>
        <v>#REF!</v>
      </c>
      <c r="C1344" s="8"/>
      <c r="D1344" s="86"/>
      <c r="E1344" s="43"/>
      <c r="F1344" s="21">
        <f>F1345</f>
        <v>1173200</v>
      </c>
      <c r="H1344" s="12">
        <v>1340</v>
      </c>
    </row>
    <row r="1345" spans="1:8" s="5" customFormat="1">
      <c r="A1345" s="15" t="e">
        <f>#REF!</f>
        <v>#REF!</v>
      </c>
      <c r="B1345" s="7" t="e">
        <f>#REF!</f>
        <v>#REF!</v>
      </c>
      <c r="C1345" s="8"/>
      <c r="D1345" s="151">
        <f>Gia_VLieu!D$16</f>
        <v>1</v>
      </c>
      <c r="E1345" s="63"/>
      <c r="F1345" s="23">
        <f>SUM(F1346:F1356)*D1345</f>
        <v>1173200</v>
      </c>
      <c r="H1345" s="12">
        <v>1341</v>
      </c>
    </row>
    <row r="1346" spans="1:8" s="5" customFormat="1">
      <c r="A1346" s="15">
        <v>1</v>
      </c>
      <c r="B1346" s="7" t="s">
        <v>77</v>
      </c>
      <c r="C1346" s="8" t="str">
        <f>Gia_VLieu!C4</f>
        <v>gram</v>
      </c>
      <c r="D1346" s="86">
        <f>Gia_VLieu!D4</f>
        <v>45000</v>
      </c>
      <c r="E1346" s="72">
        <v>5</v>
      </c>
      <c r="F1346" s="21">
        <f>D1346*E1346</f>
        <v>225000</v>
      </c>
      <c r="H1346" s="12">
        <v>1342</v>
      </c>
    </row>
    <row r="1347" spans="1:8" s="5" customFormat="1">
      <c r="A1347" s="15">
        <v>2</v>
      </c>
      <c r="B1347" s="7" t="s">
        <v>78</v>
      </c>
      <c r="C1347" s="8" t="str">
        <f>Gia_VLieu!C5</f>
        <v>hộp</v>
      </c>
      <c r="D1347" s="86">
        <f>Gia_VLieu!D5</f>
        <v>1450000</v>
      </c>
      <c r="E1347" s="72">
        <v>0.02</v>
      </c>
      <c r="F1347" s="21">
        <f t="shared" ref="F1347:F1355" si="95">D1347*E1347</f>
        <v>29000</v>
      </c>
      <c r="H1347" s="12">
        <v>1343</v>
      </c>
    </row>
    <row r="1348" spans="1:8" s="5" customFormat="1">
      <c r="A1348" s="15">
        <v>3</v>
      </c>
      <c r="B1348" s="7" t="s">
        <v>79</v>
      </c>
      <c r="C1348" s="8" t="str">
        <f>Gia_VLieu!C6</f>
        <v>hộp</v>
      </c>
      <c r="D1348" s="86">
        <f>Gia_VLieu!D6</f>
        <v>250000</v>
      </c>
      <c r="E1348" s="72">
        <v>0.01</v>
      </c>
      <c r="F1348" s="21">
        <f t="shared" si="95"/>
        <v>2500</v>
      </c>
      <c r="H1348" s="12">
        <v>1344</v>
      </c>
    </row>
    <row r="1349" spans="1:8" s="5" customFormat="1">
      <c r="A1349" s="15">
        <v>4</v>
      </c>
      <c r="B1349" s="7" t="s">
        <v>80</v>
      </c>
      <c r="C1349" s="8" t="str">
        <f>Gia_VLieu!C7</f>
        <v>quyển</v>
      </c>
      <c r="D1349" s="86">
        <f>Gia_VLieu!D7</f>
        <v>10000</v>
      </c>
      <c r="E1349" s="72">
        <v>5</v>
      </c>
      <c r="F1349" s="21">
        <f t="shared" si="95"/>
        <v>50000</v>
      </c>
      <c r="H1349" s="12">
        <v>1345</v>
      </c>
    </row>
    <row r="1350" spans="1:8" s="5" customFormat="1">
      <c r="A1350" s="15">
        <v>5</v>
      </c>
      <c r="B1350" s="7" t="s">
        <v>21</v>
      </c>
      <c r="C1350" s="8" t="str">
        <f>Gia_VLieu!C8</f>
        <v>cái</v>
      </c>
      <c r="D1350" s="86">
        <f>Gia_VLieu!D8</f>
        <v>2000</v>
      </c>
      <c r="E1350" s="72">
        <v>11</v>
      </c>
      <c r="F1350" s="21">
        <f t="shared" si="95"/>
        <v>22000</v>
      </c>
      <c r="H1350" s="12">
        <v>1346</v>
      </c>
    </row>
    <row r="1351" spans="1:8" s="5" customFormat="1">
      <c r="A1351" s="15">
        <v>6</v>
      </c>
      <c r="B1351" s="7" t="s">
        <v>82</v>
      </c>
      <c r="C1351" s="8" t="str">
        <f>Gia_VLieu!C9</f>
        <v>cái</v>
      </c>
      <c r="D1351" s="86">
        <f>Gia_VLieu!D9</f>
        <v>8000</v>
      </c>
      <c r="E1351" s="72">
        <v>40</v>
      </c>
      <c r="F1351" s="21">
        <f t="shared" si="95"/>
        <v>320000</v>
      </c>
      <c r="H1351" s="12">
        <v>1347</v>
      </c>
    </row>
    <row r="1352" spans="1:8" s="5" customFormat="1">
      <c r="A1352" s="15">
        <v>7</v>
      </c>
      <c r="B1352" s="7" t="s">
        <v>83</v>
      </c>
      <c r="C1352" s="8" t="str">
        <f>Gia_VLieu!C10</f>
        <v>cái</v>
      </c>
      <c r="D1352" s="86">
        <f>Gia_VLieu!D10</f>
        <v>10000</v>
      </c>
      <c r="E1352" s="72">
        <v>40</v>
      </c>
      <c r="F1352" s="21">
        <f t="shared" si="95"/>
        <v>400000</v>
      </c>
      <c r="H1352" s="12">
        <v>1348</v>
      </c>
    </row>
    <row r="1353" spans="1:8" s="5" customFormat="1">
      <c r="A1353" s="15">
        <v>8</v>
      </c>
      <c r="B1353" s="7" t="s">
        <v>84</v>
      </c>
      <c r="C1353" s="8" t="str">
        <f>Gia_VLieu!C11</f>
        <v>hộp</v>
      </c>
      <c r="D1353" s="86">
        <f>Gia_VLieu!D11</f>
        <v>2500</v>
      </c>
      <c r="E1353" s="72">
        <v>8</v>
      </c>
      <c r="F1353" s="21">
        <f t="shared" si="95"/>
        <v>20000</v>
      </c>
      <c r="H1353" s="12">
        <v>1349</v>
      </c>
    </row>
    <row r="1354" spans="1:8" s="5" customFormat="1">
      <c r="A1354" s="15">
        <v>9</v>
      </c>
      <c r="B1354" s="7" t="s">
        <v>85</v>
      </c>
      <c r="C1354" s="8" t="str">
        <f>Gia_VLieu!C12</f>
        <v>hộp</v>
      </c>
      <c r="D1354" s="86">
        <f>Gia_VLieu!D12</f>
        <v>2000</v>
      </c>
      <c r="E1354" s="72">
        <v>4</v>
      </c>
      <c r="F1354" s="21">
        <f t="shared" si="95"/>
        <v>8000</v>
      </c>
      <c r="H1354" s="12">
        <v>1350</v>
      </c>
    </row>
    <row r="1355" spans="1:8" s="5" customFormat="1">
      <c r="A1355" s="15">
        <v>10</v>
      </c>
      <c r="B1355" s="7" t="s">
        <v>86</v>
      </c>
      <c r="C1355" s="8" t="str">
        <f>Gia_VLieu!C13</f>
        <v>tập</v>
      </c>
      <c r="D1355" s="86">
        <f>Gia_VLieu!D13</f>
        <v>8000</v>
      </c>
      <c r="E1355" s="72">
        <v>5</v>
      </c>
      <c r="F1355" s="21">
        <f t="shared" si="95"/>
        <v>40000</v>
      </c>
      <c r="H1355" s="12">
        <v>1351</v>
      </c>
    </row>
    <row r="1356" spans="1:8" s="5" customFormat="1">
      <c r="A1356" s="57">
        <v>11</v>
      </c>
      <c r="B1356" s="58" t="s">
        <v>87</v>
      </c>
      <c r="C1356" s="59" t="str">
        <f>Gia_VLieu!C14</f>
        <v>cái</v>
      </c>
      <c r="D1356" s="87">
        <f>Gia_VLieu!D14</f>
        <v>15000</v>
      </c>
      <c r="E1356" s="73">
        <v>3.78</v>
      </c>
      <c r="F1356" s="55">
        <f>D1356*E1356</f>
        <v>56700</v>
      </c>
      <c r="H1356" s="12">
        <v>1352</v>
      </c>
    </row>
    <row r="1357" spans="1:8" s="46" customFormat="1">
      <c r="A1357" s="44" t="e">
        <f>#REF!</f>
        <v>#REF!</v>
      </c>
      <c r="B1357" s="45" t="e">
        <f>#REF!</f>
        <v>#REF!</v>
      </c>
      <c r="C1357" s="20"/>
      <c r="D1357" s="151">
        <f>Gia_VLieu!D$16</f>
        <v>1</v>
      </c>
      <c r="E1357" s="63"/>
      <c r="F1357" s="23">
        <f>SUM(F1358:F1368)*D1357</f>
        <v>1187000</v>
      </c>
      <c r="H1357" s="12">
        <v>1353</v>
      </c>
    </row>
    <row r="1358" spans="1:8" s="5" customFormat="1">
      <c r="A1358" s="15">
        <v>1</v>
      </c>
      <c r="B1358" s="7" t="s">
        <v>77</v>
      </c>
      <c r="C1358" s="8" t="str">
        <f>Gia_VLieu!C4</f>
        <v>gram</v>
      </c>
      <c r="D1358" s="86">
        <f>Gia_VLieu!D4</f>
        <v>45000</v>
      </c>
      <c r="E1358" s="72">
        <v>1</v>
      </c>
      <c r="F1358" s="21">
        <f>D1358*E1358</f>
        <v>45000</v>
      </c>
      <c r="H1358" s="12">
        <v>1354</v>
      </c>
    </row>
    <row r="1359" spans="1:8" s="5" customFormat="1">
      <c r="A1359" s="15">
        <v>2</v>
      </c>
      <c r="B1359" s="7" t="s">
        <v>78</v>
      </c>
      <c r="C1359" s="8" t="str">
        <f>Gia_VLieu!C5</f>
        <v>hộp</v>
      </c>
      <c r="D1359" s="86">
        <f>Gia_VLieu!D5</f>
        <v>1450000</v>
      </c>
      <c r="E1359" s="72">
        <v>0.01</v>
      </c>
      <c r="F1359" s="21">
        <f t="shared" ref="F1359:F1367" si="96">D1359*E1359</f>
        <v>14500</v>
      </c>
      <c r="H1359" s="12">
        <v>1355</v>
      </c>
    </row>
    <row r="1360" spans="1:8" s="5" customFormat="1">
      <c r="A1360" s="15">
        <v>3</v>
      </c>
      <c r="B1360" s="7" t="s">
        <v>79</v>
      </c>
      <c r="C1360" s="8" t="str">
        <f>Gia_VLieu!C6</f>
        <v>hộp</v>
      </c>
      <c r="D1360" s="86">
        <f>Gia_VLieu!D6</f>
        <v>250000</v>
      </c>
      <c r="E1360" s="72">
        <v>0.01</v>
      </c>
      <c r="F1360" s="21">
        <f t="shared" si="96"/>
        <v>2500</v>
      </c>
      <c r="H1360" s="12">
        <v>1356</v>
      </c>
    </row>
    <row r="1361" spans="1:8" s="5" customFormat="1">
      <c r="A1361" s="15">
        <v>4</v>
      </c>
      <c r="B1361" s="7" t="s">
        <v>80</v>
      </c>
      <c r="C1361" s="8" t="str">
        <f>Gia_VLieu!C7</f>
        <v>quyển</v>
      </c>
      <c r="D1361" s="86">
        <f>Gia_VLieu!D7</f>
        <v>10000</v>
      </c>
      <c r="E1361" s="72">
        <v>4</v>
      </c>
      <c r="F1361" s="21">
        <f t="shared" si="96"/>
        <v>40000</v>
      </c>
      <c r="H1361" s="12">
        <v>1357</v>
      </c>
    </row>
    <row r="1362" spans="1:8" s="5" customFormat="1">
      <c r="A1362" s="15">
        <v>5</v>
      </c>
      <c r="B1362" s="7" t="s">
        <v>21</v>
      </c>
      <c r="C1362" s="8" t="str">
        <f>Gia_VLieu!C8</f>
        <v>cái</v>
      </c>
      <c r="D1362" s="86">
        <f>Gia_VLieu!D8</f>
        <v>2000</v>
      </c>
      <c r="E1362" s="72">
        <v>6</v>
      </c>
      <c r="F1362" s="21">
        <f t="shared" si="96"/>
        <v>12000</v>
      </c>
      <c r="H1362" s="12">
        <v>1358</v>
      </c>
    </row>
    <row r="1363" spans="1:8" s="5" customFormat="1">
      <c r="A1363" s="15">
        <v>6</v>
      </c>
      <c r="B1363" s="7" t="s">
        <v>82</v>
      </c>
      <c r="C1363" s="8" t="str">
        <f>Gia_VLieu!C9</f>
        <v>cái</v>
      </c>
      <c r="D1363" s="86">
        <f>Gia_VLieu!D9</f>
        <v>8000</v>
      </c>
      <c r="E1363" s="72">
        <v>40</v>
      </c>
      <c r="F1363" s="21">
        <f t="shared" si="96"/>
        <v>320000</v>
      </c>
      <c r="H1363" s="12">
        <v>1359</v>
      </c>
    </row>
    <row r="1364" spans="1:8" s="5" customFormat="1">
      <c r="A1364" s="15">
        <v>7</v>
      </c>
      <c r="B1364" s="7" t="s">
        <v>83</v>
      </c>
      <c r="C1364" s="8" t="str">
        <f>Gia_VLieu!C10</f>
        <v>cái</v>
      </c>
      <c r="D1364" s="86">
        <f>Gia_VLieu!D10</f>
        <v>10000</v>
      </c>
      <c r="E1364" s="72">
        <v>40</v>
      </c>
      <c r="F1364" s="21">
        <f t="shared" si="96"/>
        <v>400000</v>
      </c>
      <c r="H1364" s="12">
        <v>1360</v>
      </c>
    </row>
    <row r="1365" spans="1:8" s="5" customFormat="1">
      <c r="A1365" s="15">
        <v>8</v>
      </c>
      <c r="B1365" s="7" t="s">
        <v>84</v>
      </c>
      <c r="C1365" s="8" t="str">
        <f>Gia_VLieu!C11</f>
        <v>hộp</v>
      </c>
      <c r="D1365" s="86">
        <f>Gia_VLieu!D11</f>
        <v>2500</v>
      </c>
      <c r="E1365" s="72">
        <v>6</v>
      </c>
      <c r="F1365" s="21">
        <f t="shared" si="96"/>
        <v>15000</v>
      </c>
      <c r="H1365" s="12">
        <v>1361</v>
      </c>
    </row>
    <row r="1366" spans="1:8" s="5" customFormat="1">
      <c r="A1366" s="15">
        <v>9</v>
      </c>
      <c r="B1366" s="7" t="s">
        <v>85</v>
      </c>
      <c r="C1366" s="8" t="str">
        <f>Gia_VLieu!C12</f>
        <v>hộp</v>
      </c>
      <c r="D1366" s="86">
        <f>Gia_VLieu!D12</f>
        <v>2000</v>
      </c>
      <c r="E1366" s="72">
        <v>3</v>
      </c>
      <c r="F1366" s="21">
        <f t="shared" si="96"/>
        <v>6000</v>
      </c>
      <c r="H1366" s="12">
        <v>1362</v>
      </c>
    </row>
    <row r="1367" spans="1:8" s="5" customFormat="1">
      <c r="A1367" s="15">
        <v>10</v>
      </c>
      <c r="B1367" s="7" t="s">
        <v>86</v>
      </c>
      <c r="C1367" s="8" t="str">
        <f>Gia_VLieu!C13</f>
        <v>tập</v>
      </c>
      <c r="D1367" s="86">
        <f>Gia_VLieu!D13</f>
        <v>8000</v>
      </c>
      <c r="E1367" s="72">
        <v>4</v>
      </c>
      <c r="F1367" s="21">
        <f t="shared" si="96"/>
        <v>32000</v>
      </c>
      <c r="H1367" s="12">
        <v>1363</v>
      </c>
    </row>
    <row r="1368" spans="1:8" s="5" customFormat="1">
      <c r="A1368" s="57">
        <v>11</v>
      </c>
      <c r="B1368" s="58" t="s">
        <v>87</v>
      </c>
      <c r="C1368" s="59" t="str">
        <f>Gia_VLieu!C14</f>
        <v>cái</v>
      </c>
      <c r="D1368" s="87">
        <f>Gia_VLieu!D14</f>
        <v>15000</v>
      </c>
      <c r="E1368" s="73">
        <v>20</v>
      </c>
      <c r="F1368" s="55">
        <f>D1368*E1368</f>
        <v>300000</v>
      </c>
      <c r="H1368" s="12">
        <v>1364</v>
      </c>
    </row>
    <row r="1369" spans="1:8" s="46" customFormat="1">
      <c r="A1369" s="44" t="e">
        <f>#REF!</f>
        <v>#REF!</v>
      </c>
      <c r="B1369" s="45" t="e">
        <f>#REF!</f>
        <v>#REF!</v>
      </c>
      <c r="C1369" s="20"/>
      <c r="D1369" s="90"/>
      <c r="E1369" s="63"/>
      <c r="F1369" s="23"/>
      <c r="H1369" s="12">
        <v>1365</v>
      </c>
    </row>
    <row r="1370" spans="1:8" s="5" customFormat="1">
      <c r="A1370" s="15" t="e">
        <f>#REF!</f>
        <v>#REF!</v>
      </c>
      <c r="B1370" s="7" t="e">
        <f>#REF!</f>
        <v>#REF!</v>
      </c>
      <c r="C1370" s="8"/>
      <c r="D1370" s="151">
        <f>Gia_VLieu!D$16</f>
        <v>1</v>
      </c>
      <c r="E1370" s="63"/>
      <c r="F1370" s="23">
        <f>SUM(F1371:F1381)*D1370</f>
        <v>602000</v>
      </c>
      <c r="H1370" s="12">
        <v>1366</v>
      </c>
    </row>
    <row r="1371" spans="1:8" s="5" customFormat="1">
      <c r="A1371" s="15">
        <v>1</v>
      </c>
      <c r="B1371" s="7" t="s">
        <v>77</v>
      </c>
      <c r="C1371" s="8" t="str">
        <f>Gia_VLieu!C4</f>
        <v>gram</v>
      </c>
      <c r="D1371" s="86">
        <f>Gia_VLieu!D4</f>
        <v>45000</v>
      </c>
      <c r="E1371" s="72">
        <v>0.5</v>
      </c>
      <c r="F1371" s="21">
        <f>D1371*E1371</f>
        <v>22500</v>
      </c>
      <c r="H1371" s="12">
        <v>1367</v>
      </c>
    </row>
    <row r="1372" spans="1:8" s="5" customFormat="1">
      <c r="A1372" s="15">
        <v>2</v>
      </c>
      <c r="B1372" s="7" t="s">
        <v>78</v>
      </c>
      <c r="C1372" s="8" t="str">
        <f>Gia_VLieu!C5</f>
        <v>hộp</v>
      </c>
      <c r="D1372" s="86">
        <f>Gia_VLieu!D5</f>
        <v>1450000</v>
      </c>
      <c r="E1372" s="72">
        <v>0.01</v>
      </c>
      <c r="F1372" s="21">
        <f t="shared" ref="F1372:F1380" si="97">D1372*E1372</f>
        <v>14500</v>
      </c>
      <c r="H1372" s="12">
        <v>1368</v>
      </c>
    </row>
    <row r="1373" spans="1:8" s="5" customFormat="1">
      <c r="A1373" s="15">
        <v>3</v>
      </c>
      <c r="B1373" s="7" t="s">
        <v>79</v>
      </c>
      <c r="C1373" s="8" t="str">
        <f>Gia_VLieu!C6</f>
        <v>hộp</v>
      </c>
      <c r="D1373" s="86">
        <f>Gia_VLieu!D6</f>
        <v>250000</v>
      </c>
      <c r="E1373" s="72">
        <v>0.01</v>
      </c>
      <c r="F1373" s="21">
        <f t="shared" si="97"/>
        <v>2500</v>
      </c>
      <c r="H1373" s="12">
        <v>1369</v>
      </c>
    </row>
    <row r="1374" spans="1:8" s="5" customFormat="1">
      <c r="A1374" s="15">
        <v>4</v>
      </c>
      <c r="B1374" s="7" t="s">
        <v>80</v>
      </c>
      <c r="C1374" s="8" t="str">
        <f>Gia_VLieu!C7</f>
        <v>quyển</v>
      </c>
      <c r="D1374" s="86">
        <f>Gia_VLieu!D7</f>
        <v>10000</v>
      </c>
      <c r="E1374" s="72">
        <v>2</v>
      </c>
      <c r="F1374" s="21">
        <f t="shared" si="97"/>
        <v>20000</v>
      </c>
      <c r="H1374" s="12">
        <v>1370</v>
      </c>
    </row>
    <row r="1375" spans="1:8" s="5" customFormat="1">
      <c r="A1375" s="15">
        <v>5</v>
      </c>
      <c r="B1375" s="7" t="s">
        <v>21</v>
      </c>
      <c r="C1375" s="8" t="str">
        <f>Gia_VLieu!C8</f>
        <v>cái</v>
      </c>
      <c r="D1375" s="86">
        <f>Gia_VLieu!D8</f>
        <v>2000</v>
      </c>
      <c r="E1375" s="72">
        <v>3</v>
      </c>
      <c r="F1375" s="21">
        <f t="shared" si="97"/>
        <v>6000</v>
      </c>
      <c r="H1375" s="12">
        <v>1371</v>
      </c>
    </row>
    <row r="1376" spans="1:8" s="5" customFormat="1">
      <c r="A1376" s="15">
        <v>6</v>
      </c>
      <c r="B1376" s="7" t="s">
        <v>82</v>
      </c>
      <c r="C1376" s="8" t="str">
        <f>Gia_VLieu!C9</f>
        <v>cái</v>
      </c>
      <c r="D1376" s="86">
        <f>Gia_VLieu!D9</f>
        <v>8000</v>
      </c>
      <c r="E1376" s="72">
        <v>20</v>
      </c>
      <c r="F1376" s="21">
        <f t="shared" si="97"/>
        <v>160000</v>
      </c>
      <c r="H1376" s="12">
        <v>1372</v>
      </c>
    </row>
    <row r="1377" spans="1:8" s="5" customFormat="1">
      <c r="A1377" s="15">
        <v>7</v>
      </c>
      <c r="B1377" s="7" t="s">
        <v>83</v>
      </c>
      <c r="C1377" s="8" t="str">
        <f>Gia_VLieu!C10</f>
        <v>cái</v>
      </c>
      <c r="D1377" s="86">
        <f>Gia_VLieu!D10</f>
        <v>10000</v>
      </c>
      <c r="E1377" s="72">
        <v>20</v>
      </c>
      <c r="F1377" s="21">
        <f t="shared" si="97"/>
        <v>200000</v>
      </c>
      <c r="H1377" s="12">
        <v>1373</v>
      </c>
    </row>
    <row r="1378" spans="1:8" s="5" customFormat="1">
      <c r="A1378" s="15">
        <v>8</v>
      </c>
      <c r="B1378" s="7" t="s">
        <v>84</v>
      </c>
      <c r="C1378" s="8" t="str">
        <f>Gia_VLieu!C11</f>
        <v>hộp</v>
      </c>
      <c r="D1378" s="86">
        <f>Gia_VLieu!D11</f>
        <v>2500</v>
      </c>
      <c r="E1378" s="72">
        <v>3</v>
      </c>
      <c r="F1378" s="21">
        <f t="shared" si="97"/>
        <v>7500</v>
      </c>
      <c r="H1378" s="12">
        <v>1374</v>
      </c>
    </row>
    <row r="1379" spans="1:8" s="5" customFormat="1">
      <c r="A1379" s="15">
        <v>9</v>
      </c>
      <c r="B1379" s="7" t="s">
        <v>85</v>
      </c>
      <c r="C1379" s="8" t="str">
        <f>Gia_VLieu!C12</f>
        <v>hộp</v>
      </c>
      <c r="D1379" s="86">
        <f>Gia_VLieu!D12</f>
        <v>2000</v>
      </c>
      <c r="E1379" s="72">
        <v>1.5</v>
      </c>
      <c r="F1379" s="21">
        <f t="shared" si="97"/>
        <v>3000</v>
      </c>
      <c r="H1379" s="12">
        <v>1375</v>
      </c>
    </row>
    <row r="1380" spans="1:8" s="5" customFormat="1">
      <c r="A1380" s="15">
        <v>10</v>
      </c>
      <c r="B1380" s="7" t="s">
        <v>86</v>
      </c>
      <c r="C1380" s="8" t="str">
        <f>Gia_VLieu!C13</f>
        <v>tập</v>
      </c>
      <c r="D1380" s="86">
        <f>Gia_VLieu!D13</f>
        <v>8000</v>
      </c>
      <c r="E1380" s="72">
        <v>2</v>
      </c>
      <c r="F1380" s="21">
        <f t="shared" si="97"/>
        <v>16000</v>
      </c>
      <c r="H1380" s="12">
        <v>1376</v>
      </c>
    </row>
    <row r="1381" spans="1:8" s="5" customFormat="1">
      <c r="A1381" s="57">
        <v>11</v>
      </c>
      <c r="B1381" s="58" t="s">
        <v>87</v>
      </c>
      <c r="C1381" s="59" t="str">
        <f>Gia_VLieu!C14</f>
        <v>cái</v>
      </c>
      <c r="D1381" s="87">
        <f>Gia_VLieu!D14</f>
        <v>15000</v>
      </c>
      <c r="E1381" s="73">
        <v>10</v>
      </c>
      <c r="F1381" s="55">
        <f>D1381*E1381</f>
        <v>150000</v>
      </c>
      <c r="H1381" s="12">
        <v>1377</v>
      </c>
    </row>
    <row r="1382" spans="1:8" s="5" customFormat="1">
      <c r="A1382" s="15" t="e">
        <f>#REF!</f>
        <v>#REF!</v>
      </c>
      <c r="B1382" s="7" t="e">
        <f>#REF!</f>
        <v>#REF!</v>
      </c>
      <c r="C1382" s="8"/>
      <c r="D1382" s="151">
        <f>Gia_VLieu!D$16</f>
        <v>1</v>
      </c>
      <c r="E1382" s="63"/>
      <c r="F1382" s="23">
        <f>SUM(F1383:F1393)*D1382</f>
        <v>580000</v>
      </c>
      <c r="H1382" s="12">
        <v>1378</v>
      </c>
    </row>
    <row r="1383" spans="1:8" s="5" customFormat="1">
      <c r="A1383" s="15">
        <v>1</v>
      </c>
      <c r="B1383" s="7" t="s">
        <v>77</v>
      </c>
      <c r="C1383" s="8" t="str">
        <f>Gia_VLieu!C4</f>
        <v>gram</v>
      </c>
      <c r="D1383" s="86">
        <f>Gia_VLieu!D4</f>
        <v>45000</v>
      </c>
      <c r="E1383" s="72">
        <v>2</v>
      </c>
      <c r="F1383" s="21">
        <f>D1383*E1383</f>
        <v>90000</v>
      </c>
      <c r="H1383" s="12">
        <v>1379</v>
      </c>
    </row>
    <row r="1384" spans="1:8" s="5" customFormat="1">
      <c r="A1384" s="15">
        <v>2</v>
      </c>
      <c r="B1384" s="7" t="s">
        <v>78</v>
      </c>
      <c r="C1384" s="8" t="str">
        <f>Gia_VLieu!C5</f>
        <v>hộp</v>
      </c>
      <c r="D1384" s="86">
        <f>Gia_VLieu!D5</f>
        <v>1450000</v>
      </c>
      <c r="E1384" s="72">
        <v>0.02</v>
      </c>
      <c r="F1384" s="21">
        <f t="shared" ref="F1384:F1392" si="98">D1384*E1384</f>
        <v>29000</v>
      </c>
      <c r="H1384" s="12">
        <v>1380</v>
      </c>
    </row>
    <row r="1385" spans="1:8" s="5" customFormat="1">
      <c r="A1385" s="15">
        <v>3</v>
      </c>
      <c r="B1385" s="7" t="s">
        <v>79</v>
      </c>
      <c r="C1385" s="8" t="str">
        <f>Gia_VLieu!C6</f>
        <v>hộp</v>
      </c>
      <c r="D1385" s="86">
        <f>Gia_VLieu!D6</f>
        <v>250000</v>
      </c>
      <c r="E1385" s="72">
        <v>0.02</v>
      </c>
      <c r="F1385" s="21">
        <f t="shared" si="98"/>
        <v>5000</v>
      </c>
      <c r="H1385" s="12">
        <v>1381</v>
      </c>
    </row>
    <row r="1386" spans="1:8" s="5" customFormat="1">
      <c r="A1386" s="15">
        <v>4</v>
      </c>
      <c r="B1386" s="7" t="s">
        <v>80</v>
      </c>
      <c r="C1386" s="8" t="str">
        <f>Gia_VLieu!C7</f>
        <v>quyển</v>
      </c>
      <c r="D1386" s="86">
        <f>Gia_VLieu!D7</f>
        <v>10000</v>
      </c>
      <c r="E1386" s="72">
        <v>5</v>
      </c>
      <c r="F1386" s="21">
        <f t="shared" si="98"/>
        <v>50000</v>
      </c>
      <c r="H1386" s="12">
        <v>1382</v>
      </c>
    </row>
    <row r="1387" spans="1:8" s="5" customFormat="1">
      <c r="A1387" s="15">
        <v>5</v>
      </c>
      <c r="B1387" s="7" t="s">
        <v>21</v>
      </c>
      <c r="C1387" s="8" t="str">
        <f>Gia_VLieu!C8</f>
        <v>cái</v>
      </c>
      <c r="D1387" s="86">
        <f>Gia_VLieu!D8</f>
        <v>2000</v>
      </c>
      <c r="E1387" s="72">
        <v>6</v>
      </c>
      <c r="F1387" s="21">
        <f t="shared" si="98"/>
        <v>12000</v>
      </c>
      <c r="H1387" s="12">
        <v>1383</v>
      </c>
    </row>
    <row r="1388" spans="1:8" s="5" customFormat="1">
      <c r="A1388" s="15">
        <v>6</v>
      </c>
      <c r="B1388" s="7" t="s">
        <v>82</v>
      </c>
      <c r="C1388" s="8" t="str">
        <f>Gia_VLieu!C9</f>
        <v>cái</v>
      </c>
      <c r="D1388" s="86">
        <f>Gia_VLieu!D9</f>
        <v>8000</v>
      </c>
      <c r="E1388" s="72">
        <v>12</v>
      </c>
      <c r="F1388" s="21">
        <f t="shared" si="98"/>
        <v>96000</v>
      </c>
      <c r="H1388" s="12">
        <v>1384</v>
      </c>
    </row>
    <row r="1389" spans="1:8" s="5" customFormat="1">
      <c r="A1389" s="15">
        <v>7</v>
      </c>
      <c r="B1389" s="7" t="s">
        <v>83</v>
      </c>
      <c r="C1389" s="8" t="str">
        <f>Gia_VLieu!C10</f>
        <v>cái</v>
      </c>
      <c r="D1389" s="86">
        <f>Gia_VLieu!D10</f>
        <v>10000</v>
      </c>
      <c r="E1389" s="72">
        <v>14</v>
      </c>
      <c r="F1389" s="21">
        <f t="shared" si="98"/>
        <v>140000</v>
      </c>
      <c r="H1389" s="12">
        <v>1385</v>
      </c>
    </row>
    <row r="1390" spans="1:8" s="5" customFormat="1">
      <c r="A1390" s="15">
        <v>8</v>
      </c>
      <c r="B1390" s="7" t="s">
        <v>84</v>
      </c>
      <c r="C1390" s="8" t="str">
        <f>Gia_VLieu!C11</f>
        <v>hộp</v>
      </c>
      <c r="D1390" s="86">
        <f>Gia_VLieu!D11</f>
        <v>2500</v>
      </c>
      <c r="E1390" s="72">
        <v>4</v>
      </c>
      <c r="F1390" s="21">
        <f t="shared" si="98"/>
        <v>10000</v>
      </c>
      <c r="H1390" s="12">
        <v>1386</v>
      </c>
    </row>
    <row r="1391" spans="1:8" s="5" customFormat="1">
      <c r="A1391" s="15">
        <v>9</v>
      </c>
      <c r="B1391" s="7" t="s">
        <v>85</v>
      </c>
      <c r="C1391" s="8" t="str">
        <f>Gia_VLieu!C12</f>
        <v>hộp</v>
      </c>
      <c r="D1391" s="86">
        <f>Gia_VLieu!D12</f>
        <v>2000</v>
      </c>
      <c r="E1391" s="72">
        <v>2</v>
      </c>
      <c r="F1391" s="21">
        <f t="shared" si="98"/>
        <v>4000</v>
      </c>
      <c r="H1391" s="12">
        <v>1387</v>
      </c>
    </row>
    <row r="1392" spans="1:8" s="5" customFormat="1">
      <c r="A1392" s="15">
        <v>10</v>
      </c>
      <c r="B1392" s="7" t="s">
        <v>86</v>
      </c>
      <c r="C1392" s="8" t="str">
        <f>Gia_VLieu!C13</f>
        <v>tập</v>
      </c>
      <c r="D1392" s="86">
        <f>Gia_VLieu!D13</f>
        <v>8000</v>
      </c>
      <c r="E1392" s="72">
        <v>3</v>
      </c>
      <c r="F1392" s="21">
        <f t="shared" si="98"/>
        <v>24000</v>
      </c>
      <c r="H1392" s="12">
        <v>1388</v>
      </c>
    </row>
    <row r="1393" spans="1:8" s="5" customFormat="1">
      <c r="A1393" s="57">
        <v>11</v>
      </c>
      <c r="B1393" s="58" t="s">
        <v>87</v>
      </c>
      <c r="C1393" s="59" t="str">
        <f>Gia_VLieu!C14</f>
        <v>cái</v>
      </c>
      <c r="D1393" s="87">
        <f>Gia_VLieu!D14</f>
        <v>15000</v>
      </c>
      <c r="E1393" s="73">
        <v>8</v>
      </c>
      <c r="F1393" s="55">
        <f>D1393*E1393</f>
        <v>120000</v>
      </c>
      <c r="H1393" s="12">
        <v>1389</v>
      </c>
    </row>
    <row r="1394" spans="1:8" s="46" customFormat="1">
      <c r="A1394" s="44" t="e">
        <f>#REF!</f>
        <v>#REF!</v>
      </c>
      <c r="B1394" s="45" t="e">
        <f>#REF!</f>
        <v>#REF!</v>
      </c>
      <c r="C1394" s="20"/>
      <c r="D1394" s="90"/>
      <c r="E1394" s="63"/>
      <c r="F1394" s="23"/>
      <c r="H1394" s="12">
        <v>1390</v>
      </c>
    </row>
    <row r="1395" spans="1:8" s="5" customFormat="1">
      <c r="A1395" s="15" t="e">
        <f>#REF!</f>
        <v>#REF!</v>
      </c>
      <c r="B1395" s="7" t="e">
        <f>#REF!</f>
        <v>#REF!</v>
      </c>
      <c r="C1395" s="8"/>
      <c r="D1395" s="86"/>
      <c r="E1395" s="43"/>
      <c r="F1395" s="21"/>
      <c r="H1395" s="12">
        <v>1391</v>
      </c>
    </row>
    <row r="1396" spans="1:8" s="11" customFormat="1">
      <c r="A1396" s="29" t="e">
        <f>#REF!</f>
        <v>#REF!</v>
      </c>
      <c r="B1396" s="135" t="e">
        <f>#REF!</f>
        <v>#REF!</v>
      </c>
      <c r="C1396" s="136"/>
      <c r="D1396" s="136"/>
      <c r="E1396" s="136"/>
      <c r="F1396" s="137"/>
      <c r="H1396" s="12">
        <v>1392</v>
      </c>
    </row>
    <row r="1397" spans="1:8" s="16" customFormat="1">
      <c r="A1397" s="14" t="e">
        <f>#REF!</f>
        <v>#REF!</v>
      </c>
      <c r="B1397" s="10" t="e">
        <f>#REF!</f>
        <v>#REF!</v>
      </c>
      <c r="C1397" s="9"/>
      <c r="D1397" s="92"/>
      <c r="E1397" s="66"/>
      <c r="F1397" s="22"/>
      <c r="H1397" s="12">
        <v>1393</v>
      </c>
    </row>
    <row r="1398" spans="1:8" s="16" customFormat="1">
      <c r="A1398" s="14" t="e">
        <f>#REF!</f>
        <v>#REF!</v>
      </c>
      <c r="B1398" s="10" t="e">
        <f>#REF!</f>
        <v>#REF!</v>
      </c>
      <c r="C1398" s="9"/>
      <c r="D1398" s="151">
        <f>Gia_VLieu!D$16</f>
        <v>1</v>
      </c>
      <c r="E1398" s="63"/>
      <c r="F1398" s="23">
        <f>SUM(F1399:F1409)*D1398</f>
        <v>316000</v>
      </c>
      <c r="H1398" s="12">
        <v>1394</v>
      </c>
    </row>
    <row r="1399" spans="1:8" s="5" customFormat="1">
      <c r="A1399" s="15">
        <v>1</v>
      </c>
      <c r="B1399" s="7" t="s">
        <v>77</v>
      </c>
      <c r="C1399" s="8" t="str">
        <f>Gia_VLieu!C4</f>
        <v>gram</v>
      </c>
      <c r="D1399" s="86">
        <f>Gia_VLieu!D4</f>
        <v>45000</v>
      </c>
      <c r="E1399" s="72">
        <v>0.5</v>
      </c>
      <c r="F1399" s="21">
        <f>D1399*E1399</f>
        <v>22500</v>
      </c>
      <c r="H1399" s="12">
        <v>1395</v>
      </c>
    </row>
    <row r="1400" spans="1:8" s="5" customFormat="1">
      <c r="A1400" s="15">
        <v>2</v>
      </c>
      <c r="B1400" s="7" t="s">
        <v>78</v>
      </c>
      <c r="C1400" s="8" t="str">
        <f>Gia_VLieu!C5</f>
        <v>hộp</v>
      </c>
      <c r="D1400" s="86">
        <f>Gia_VLieu!D5</f>
        <v>1450000</v>
      </c>
      <c r="E1400" s="72">
        <v>0.05</v>
      </c>
      <c r="F1400" s="21">
        <f t="shared" ref="F1400:F1408" si="99">D1400*E1400</f>
        <v>72500</v>
      </c>
      <c r="H1400" s="12">
        <v>1396</v>
      </c>
    </row>
    <row r="1401" spans="1:8" s="5" customFormat="1">
      <c r="A1401" s="15">
        <v>3</v>
      </c>
      <c r="B1401" s="7" t="s">
        <v>79</v>
      </c>
      <c r="C1401" s="8" t="str">
        <f>Gia_VLieu!C6</f>
        <v>hộp</v>
      </c>
      <c r="D1401" s="86">
        <f>Gia_VLieu!D6</f>
        <v>250000</v>
      </c>
      <c r="E1401" s="72">
        <v>0.08</v>
      </c>
      <c r="F1401" s="21">
        <f t="shared" si="99"/>
        <v>20000</v>
      </c>
      <c r="H1401" s="12">
        <v>1397</v>
      </c>
    </row>
    <row r="1402" spans="1:8" s="5" customFormat="1">
      <c r="A1402" s="15">
        <v>4</v>
      </c>
      <c r="B1402" s="7" t="s">
        <v>80</v>
      </c>
      <c r="C1402" s="8" t="str">
        <f>Gia_VLieu!C7</f>
        <v>quyển</v>
      </c>
      <c r="D1402" s="86">
        <f>Gia_VLieu!D7</f>
        <v>10000</v>
      </c>
      <c r="E1402" s="72">
        <v>4</v>
      </c>
      <c r="F1402" s="21">
        <f t="shared" si="99"/>
        <v>40000</v>
      </c>
      <c r="H1402" s="12">
        <v>1398</v>
      </c>
    </row>
    <row r="1403" spans="1:8" s="5" customFormat="1">
      <c r="A1403" s="15">
        <v>5</v>
      </c>
      <c r="B1403" s="7" t="s">
        <v>21</v>
      </c>
      <c r="C1403" s="8" t="str">
        <f>Gia_VLieu!C8</f>
        <v>cái</v>
      </c>
      <c r="D1403" s="86">
        <f>Gia_VLieu!D8</f>
        <v>2000</v>
      </c>
      <c r="E1403" s="72">
        <v>6</v>
      </c>
      <c r="F1403" s="21">
        <f t="shared" si="99"/>
        <v>12000</v>
      </c>
      <c r="H1403" s="12">
        <v>1399</v>
      </c>
    </row>
    <row r="1404" spans="1:8" s="5" customFormat="1">
      <c r="A1404" s="15">
        <v>6</v>
      </c>
      <c r="B1404" s="7" t="s">
        <v>82</v>
      </c>
      <c r="C1404" s="8" t="str">
        <f>Gia_VLieu!C9</f>
        <v>cái</v>
      </c>
      <c r="D1404" s="86">
        <f>Gia_VLieu!D9</f>
        <v>8000</v>
      </c>
      <c r="E1404" s="72">
        <v>2</v>
      </c>
      <c r="F1404" s="21">
        <f t="shared" si="99"/>
        <v>16000</v>
      </c>
      <c r="H1404" s="12">
        <v>1400</v>
      </c>
    </row>
    <row r="1405" spans="1:8" s="5" customFormat="1">
      <c r="A1405" s="15">
        <v>7</v>
      </c>
      <c r="B1405" s="7" t="s">
        <v>83</v>
      </c>
      <c r="C1405" s="8" t="str">
        <f>Gia_VLieu!C10</f>
        <v>cái</v>
      </c>
      <c r="D1405" s="86">
        <f>Gia_VLieu!D10</f>
        <v>10000</v>
      </c>
      <c r="E1405" s="72">
        <v>2</v>
      </c>
      <c r="F1405" s="21">
        <f t="shared" si="99"/>
        <v>20000</v>
      </c>
      <c r="H1405" s="12">
        <v>1401</v>
      </c>
    </row>
    <row r="1406" spans="1:8" s="5" customFormat="1">
      <c r="A1406" s="15">
        <v>8</v>
      </c>
      <c r="B1406" s="7" t="s">
        <v>84</v>
      </c>
      <c r="C1406" s="8" t="str">
        <f>Gia_VLieu!C11</f>
        <v>hộp</v>
      </c>
      <c r="D1406" s="86">
        <f>Gia_VLieu!D11</f>
        <v>2500</v>
      </c>
      <c r="E1406" s="72">
        <v>4</v>
      </c>
      <c r="F1406" s="21">
        <f t="shared" si="99"/>
        <v>10000</v>
      </c>
      <c r="H1406" s="12">
        <v>1402</v>
      </c>
    </row>
    <row r="1407" spans="1:8" s="5" customFormat="1">
      <c r="A1407" s="15">
        <v>9</v>
      </c>
      <c r="B1407" s="7" t="s">
        <v>85</v>
      </c>
      <c r="C1407" s="8" t="str">
        <f>Gia_VLieu!C12</f>
        <v>hộp</v>
      </c>
      <c r="D1407" s="86">
        <f>Gia_VLieu!D12</f>
        <v>2000</v>
      </c>
      <c r="E1407" s="72">
        <v>1.5</v>
      </c>
      <c r="F1407" s="21">
        <f t="shared" si="99"/>
        <v>3000</v>
      </c>
      <c r="H1407" s="12">
        <v>1403</v>
      </c>
    </row>
    <row r="1408" spans="1:8" s="5" customFormat="1">
      <c r="A1408" s="15">
        <v>10</v>
      </c>
      <c r="B1408" s="7" t="s">
        <v>86</v>
      </c>
      <c r="C1408" s="8" t="str">
        <f>Gia_VLieu!C13</f>
        <v>tập</v>
      </c>
      <c r="D1408" s="86">
        <f>Gia_VLieu!D13</f>
        <v>8000</v>
      </c>
      <c r="E1408" s="72">
        <v>5</v>
      </c>
      <c r="F1408" s="21">
        <f t="shared" si="99"/>
        <v>40000</v>
      </c>
      <c r="H1408" s="12">
        <v>1404</v>
      </c>
    </row>
    <row r="1409" spans="1:8" s="5" customFormat="1">
      <c r="A1409" s="57">
        <v>11</v>
      </c>
      <c r="B1409" s="58" t="s">
        <v>87</v>
      </c>
      <c r="C1409" s="59" t="str">
        <f>Gia_VLieu!C14</f>
        <v>cái</v>
      </c>
      <c r="D1409" s="87">
        <f>Gia_VLieu!D14</f>
        <v>15000</v>
      </c>
      <c r="E1409" s="73">
        <v>4</v>
      </c>
      <c r="F1409" s="55">
        <f>D1409*E1409</f>
        <v>60000</v>
      </c>
      <c r="H1409" s="12">
        <v>1405</v>
      </c>
    </row>
    <row r="1410" spans="1:8" s="16" customFormat="1">
      <c r="A1410" s="14" t="e">
        <f>#REF!</f>
        <v>#REF!</v>
      </c>
      <c r="B1410" s="10" t="e">
        <f>#REF!</f>
        <v>#REF!</v>
      </c>
      <c r="C1410" s="9"/>
      <c r="D1410" s="92"/>
      <c r="E1410" s="66"/>
      <c r="F1410" s="22"/>
      <c r="H1410" s="12">
        <v>1406</v>
      </c>
    </row>
    <row r="1411" spans="1:8" s="46" customFormat="1">
      <c r="A1411" s="44" t="e">
        <f>#REF!</f>
        <v>#REF!</v>
      </c>
      <c r="B1411" s="45" t="e">
        <f>#REF!</f>
        <v>#REF!</v>
      </c>
      <c r="C1411" s="20"/>
      <c r="D1411" s="151">
        <f>Gia_VLieu!D$16</f>
        <v>1</v>
      </c>
      <c r="E1411" s="63"/>
      <c r="F1411" s="23">
        <f>SUM(F1412:F1422)*D1411</f>
        <v>343500</v>
      </c>
      <c r="H1411" s="12">
        <v>1407</v>
      </c>
    </row>
    <row r="1412" spans="1:8" s="5" customFormat="1">
      <c r="A1412" s="15">
        <v>1</v>
      </c>
      <c r="B1412" s="7" t="s">
        <v>77</v>
      </c>
      <c r="C1412" s="8" t="str">
        <f>Gia_VLieu!C4</f>
        <v>gram</v>
      </c>
      <c r="D1412" s="86">
        <f>Gia_VLieu!D4</f>
        <v>45000</v>
      </c>
      <c r="E1412" s="72">
        <v>1</v>
      </c>
      <c r="F1412" s="21">
        <f>D1412*E1412</f>
        <v>45000</v>
      </c>
      <c r="H1412" s="12">
        <v>1408</v>
      </c>
    </row>
    <row r="1413" spans="1:8" s="5" customFormat="1">
      <c r="A1413" s="15">
        <v>2</v>
      </c>
      <c r="B1413" s="7" t="s">
        <v>78</v>
      </c>
      <c r="C1413" s="8" t="str">
        <f>Gia_VLieu!C5</f>
        <v>hộp</v>
      </c>
      <c r="D1413" s="86">
        <f>Gia_VLieu!D5</f>
        <v>1450000</v>
      </c>
      <c r="E1413" s="72">
        <v>0.06</v>
      </c>
      <c r="F1413" s="21">
        <f t="shared" ref="F1413:F1421" si="100">D1413*E1413</f>
        <v>87000</v>
      </c>
      <c r="H1413" s="12">
        <v>1409</v>
      </c>
    </row>
    <row r="1414" spans="1:8" s="5" customFormat="1">
      <c r="A1414" s="15">
        <v>3</v>
      </c>
      <c r="B1414" s="7" t="s">
        <v>79</v>
      </c>
      <c r="C1414" s="8" t="str">
        <f>Gia_VLieu!C6</f>
        <v>hộp</v>
      </c>
      <c r="D1414" s="86">
        <f>Gia_VLieu!D6</f>
        <v>250000</v>
      </c>
      <c r="E1414" s="72">
        <v>0.05</v>
      </c>
      <c r="F1414" s="21">
        <f t="shared" si="100"/>
        <v>12500</v>
      </c>
      <c r="H1414" s="12">
        <v>1410</v>
      </c>
    </row>
    <row r="1415" spans="1:8" s="5" customFormat="1">
      <c r="A1415" s="15">
        <v>4</v>
      </c>
      <c r="B1415" s="7" t="s">
        <v>80</v>
      </c>
      <c r="C1415" s="8" t="str">
        <f>Gia_VLieu!C7</f>
        <v>quyển</v>
      </c>
      <c r="D1415" s="86">
        <f>Gia_VLieu!D7</f>
        <v>10000</v>
      </c>
      <c r="E1415" s="72">
        <v>4</v>
      </c>
      <c r="F1415" s="21">
        <f t="shared" si="100"/>
        <v>40000</v>
      </c>
      <c r="H1415" s="12">
        <v>1411</v>
      </c>
    </row>
    <row r="1416" spans="1:8" s="5" customFormat="1">
      <c r="A1416" s="15">
        <v>5</v>
      </c>
      <c r="B1416" s="7" t="s">
        <v>21</v>
      </c>
      <c r="C1416" s="8" t="str">
        <f>Gia_VLieu!C8</f>
        <v>cái</v>
      </c>
      <c r="D1416" s="86">
        <f>Gia_VLieu!D8</f>
        <v>2000</v>
      </c>
      <c r="E1416" s="72">
        <v>6</v>
      </c>
      <c r="F1416" s="21">
        <f t="shared" si="100"/>
        <v>12000</v>
      </c>
      <c r="H1416" s="12">
        <v>1412</v>
      </c>
    </row>
    <row r="1417" spans="1:8" s="5" customFormat="1">
      <c r="A1417" s="15">
        <v>6</v>
      </c>
      <c r="B1417" s="7" t="s">
        <v>82</v>
      </c>
      <c r="C1417" s="8" t="str">
        <f>Gia_VLieu!C9</f>
        <v>cái</v>
      </c>
      <c r="D1417" s="86">
        <f>Gia_VLieu!D9</f>
        <v>8000</v>
      </c>
      <c r="E1417" s="72">
        <v>2</v>
      </c>
      <c r="F1417" s="21">
        <f t="shared" si="100"/>
        <v>16000</v>
      </c>
      <c r="H1417" s="12">
        <v>1413</v>
      </c>
    </row>
    <row r="1418" spans="1:8" s="5" customFormat="1">
      <c r="A1418" s="15">
        <v>7</v>
      </c>
      <c r="B1418" s="7" t="s">
        <v>83</v>
      </c>
      <c r="C1418" s="8" t="str">
        <f>Gia_VLieu!C10</f>
        <v>cái</v>
      </c>
      <c r="D1418" s="86">
        <f>Gia_VLieu!D10</f>
        <v>10000</v>
      </c>
      <c r="E1418" s="72">
        <v>2</v>
      </c>
      <c r="F1418" s="21">
        <f t="shared" si="100"/>
        <v>20000</v>
      </c>
      <c r="H1418" s="12">
        <v>1414</v>
      </c>
    </row>
    <row r="1419" spans="1:8" s="5" customFormat="1">
      <c r="A1419" s="15">
        <v>8</v>
      </c>
      <c r="B1419" s="7" t="s">
        <v>84</v>
      </c>
      <c r="C1419" s="8" t="str">
        <f>Gia_VLieu!C11</f>
        <v>hộp</v>
      </c>
      <c r="D1419" s="86">
        <f>Gia_VLieu!D11</f>
        <v>2500</v>
      </c>
      <c r="E1419" s="72">
        <v>4</v>
      </c>
      <c r="F1419" s="21">
        <f t="shared" si="100"/>
        <v>10000</v>
      </c>
      <c r="H1419" s="12">
        <v>1415</v>
      </c>
    </row>
    <row r="1420" spans="1:8" s="5" customFormat="1">
      <c r="A1420" s="15">
        <v>9</v>
      </c>
      <c r="B1420" s="7" t="s">
        <v>85</v>
      </c>
      <c r="C1420" s="8" t="str">
        <f>Gia_VLieu!C12</f>
        <v>hộp</v>
      </c>
      <c r="D1420" s="86">
        <f>Gia_VLieu!D12</f>
        <v>2000</v>
      </c>
      <c r="E1420" s="72">
        <v>1</v>
      </c>
      <c r="F1420" s="21">
        <f t="shared" si="100"/>
        <v>2000</v>
      </c>
      <c r="H1420" s="12">
        <v>1416</v>
      </c>
    </row>
    <row r="1421" spans="1:8" s="5" customFormat="1">
      <c r="A1421" s="15">
        <v>10</v>
      </c>
      <c r="B1421" s="7" t="s">
        <v>86</v>
      </c>
      <c r="C1421" s="8" t="str">
        <f>Gia_VLieu!C13</f>
        <v>tập</v>
      </c>
      <c r="D1421" s="86">
        <f>Gia_VLieu!D13</f>
        <v>8000</v>
      </c>
      <c r="E1421" s="72">
        <v>3</v>
      </c>
      <c r="F1421" s="21">
        <f t="shared" si="100"/>
        <v>24000</v>
      </c>
      <c r="H1421" s="12">
        <v>1417</v>
      </c>
    </row>
    <row r="1422" spans="1:8" s="5" customFormat="1">
      <c r="A1422" s="57">
        <v>11</v>
      </c>
      <c r="B1422" s="58" t="s">
        <v>87</v>
      </c>
      <c r="C1422" s="59" t="str">
        <f>Gia_VLieu!C14</f>
        <v>cái</v>
      </c>
      <c r="D1422" s="87">
        <f>Gia_VLieu!D14</f>
        <v>15000</v>
      </c>
      <c r="E1422" s="73">
        <v>5</v>
      </c>
      <c r="F1422" s="55">
        <f>D1422*E1422</f>
        <v>75000</v>
      </c>
      <c r="H1422" s="12">
        <v>1418</v>
      </c>
    </row>
    <row r="1423" spans="1:8" s="46" customFormat="1">
      <c r="A1423" s="44" t="e">
        <f>#REF!</f>
        <v>#REF!</v>
      </c>
      <c r="B1423" s="45" t="e">
        <f>#REF!</f>
        <v>#REF!</v>
      </c>
      <c r="C1423" s="20"/>
      <c r="D1423" s="151">
        <f>Gia_VLieu!D$16</f>
        <v>1</v>
      </c>
      <c r="E1423" s="63"/>
      <c r="F1423" s="23">
        <f>SUM(F1424:F1434)*D1423</f>
        <v>136950</v>
      </c>
      <c r="H1423" s="12">
        <v>1419</v>
      </c>
    </row>
    <row r="1424" spans="1:8" s="5" customFormat="1">
      <c r="A1424" s="15">
        <v>1</v>
      </c>
      <c r="B1424" s="7" t="s">
        <v>77</v>
      </c>
      <c r="C1424" s="8" t="str">
        <f>Gia_VLieu!C4</f>
        <v>gram</v>
      </c>
      <c r="D1424" s="86">
        <f>Gia_VLieu!D4</f>
        <v>45000</v>
      </c>
      <c r="E1424" s="72">
        <v>0.3</v>
      </c>
      <c r="F1424" s="21">
        <f>D1424*E1424</f>
        <v>13500</v>
      </c>
      <c r="H1424" s="12">
        <v>1420</v>
      </c>
    </row>
    <row r="1425" spans="1:8" s="5" customFormat="1">
      <c r="A1425" s="15">
        <v>2</v>
      </c>
      <c r="B1425" s="7" t="s">
        <v>78</v>
      </c>
      <c r="C1425" s="8" t="str">
        <f>Gia_VLieu!C5</f>
        <v>hộp</v>
      </c>
      <c r="D1425" s="86">
        <f>Gia_VLieu!D5</f>
        <v>1450000</v>
      </c>
      <c r="E1425" s="72">
        <v>0.02</v>
      </c>
      <c r="F1425" s="21">
        <f t="shared" ref="F1425:F1433" si="101">D1425*E1425</f>
        <v>29000</v>
      </c>
      <c r="H1425" s="12">
        <v>1421</v>
      </c>
    </row>
    <row r="1426" spans="1:8" s="5" customFormat="1">
      <c r="A1426" s="15">
        <v>3</v>
      </c>
      <c r="B1426" s="7" t="s">
        <v>79</v>
      </c>
      <c r="C1426" s="8" t="str">
        <f>Gia_VLieu!C6</f>
        <v>hộp</v>
      </c>
      <c r="D1426" s="86">
        <f>Gia_VLieu!D6</f>
        <v>250000</v>
      </c>
      <c r="E1426" s="72">
        <v>0.01</v>
      </c>
      <c r="F1426" s="21">
        <f t="shared" si="101"/>
        <v>2500</v>
      </c>
      <c r="H1426" s="12">
        <v>1422</v>
      </c>
    </row>
    <row r="1427" spans="1:8" s="5" customFormat="1">
      <c r="A1427" s="15">
        <v>4</v>
      </c>
      <c r="B1427" s="7" t="s">
        <v>80</v>
      </c>
      <c r="C1427" s="8" t="str">
        <f>Gia_VLieu!C7</f>
        <v>quyển</v>
      </c>
      <c r="D1427" s="86">
        <f>Gia_VLieu!D7</f>
        <v>10000</v>
      </c>
      <c r="E1427" s="72">
        <v>1</v>
      </c>
      <c r="F1427" s="21">
        <f t="shared" si="101"/>
        <v>10000</v>
      </c>
      <c r="H1427" s="12">
        <v>1423</v>
      </c>
    </row>
    <row r="1428" spans="1:8" s="5" customFormat="1">
      <c r="A1428" s="15">
        <v>5</v>
      </c>
      <c r="B1428" s="7" t="s">
        <v>21</v>
      </c>
      <c r="C1428" s="8" t="str">
        <f>Gia_VLieu!C8</f>
        <v>cái</v>
      </c>
      <c r="D1428" s="86">
        <f>Gia_VLieu!D8</f>
        <v>2000</v>
      </c>
      <c r="E1428" s="72">
        <v>2</v>
      </c>
      <c r="F1428" s="21">
        <f t="shared" si="101"/>
        <v>4000</v>
      </c>
      <c r="H1428" s="12">
        <v>1424</v>
      </c>
    </row>
    <row r="1429" spans="1:8" s="5" customFormat="1">
      <c r="A1429" s="15">
        <v>6</v>
      </c>
      <c r="B1429" s="7" t="s">
        <v>82</v>
      </c>
      <c r="C1429" s="8" t="str">
        <f>Gia_VLieu!C9</f>
        <v>cái</v>
      </c>
      <c r="D1429" s="86">
        <f>Gia_VLieu!D9</f>
        <v>8000</v>
      </c>
      <c r="E1429" s="72">
        <v>1</v>
      </c>
      <c r="F1429" s="21">
        <f t="shared" si="101"/>
        <v>8000</v>
      </c>
      <c r="H1429" s="12">
        <v>1425</v>
      </c>
    </row>
    <row r="1430" spans="1:8" s="5" customFormat="1">
      <c r="A1430" s="15">
        <v>7</v>
      </c>
      <c r="B1430" s="7" t="s">
        <v>83</v>
      </c>
      <c r="C1430" s="8" t="str">
        <f>Gia_VLieu!C10</f>
        <v>cái</v>
      </c>
      <c r="D1430" s="86">
        <f>Gia_VLieu!D10</f>
        <v>10000</v>
      </c>
      <c r="E1430" s="72">
        <v>1</v>
      </c>
      <c r="F1430" s="21">
        <f t="shared" si="101"/>
        <v>10000</v>
      </c>
      <c r="H1430" s="12">
        <v>1426</v>
      </c>
    </row>
    <row r="1431" spans="1:8" s="5" customFormat="1">
      <c r="A1431" s="15">
        <v>8</v>
      </c>
      <c r="B1431" s="7" t="s">
        <v>84</v>
      </c>
      <c r="C1431" s="8" t="str">
        <f>Gia_VLieu!C11</f>
        <v>hộp</v>
      </c>
      <c r="D1431" s="86">
        <f>Gia_VLieu!D11</f>
        <v>2500</v>
      </c>
      <c r="E1431" s="72">
        <v>1.5</v>
      </c>
      <c r="F1431" s="21">
        <f t="shared" si="101"/>
        <v>3750</v>
      </c>
      <c r="H1431" s="12">
        <v>1427</v>
      </c>
    </row>
    <row r="1432" spans="1:8" s="5" customFormat="1">
      <c r="A1432" s="15">
        <v>9</v>
      </c>
      <c r="B1432" s="7" t="s">
        <v>85</v>
      </c>
      <c r="C1432" s="8" t="str">
        <f>Gia_VLieu!C12</f>
        <v>hộp</v>
      </c>
      <c r="D1432" s="86">
        <f>Gia_VLieu!D12</f>
        <v>2000</v>
      </c>
      <c r="E1432" s="72">
        <v>0.8</v>
      </c>
      <c r="F1432" s="21">
        <f t="shared" si="101"/>
        <v>1600</v>
      </c>
      <c r="H1432" s="12">
        <v>1428</v>
      </c>
    </row>
    <row r="1433" spans="1:8" s="5" customFormat="1">
      <c r="A1433" s="15">
        <v>10</v>
      </c>
      <c r="B1433" s="7" t="s">
        <v>86</v>
      </c>
      <c r="C1433" s="8" t="str">
        <f>Gia_VLieu!C13</f>
        <v>tập</v>
      </c>
      <c r="D1433" s="86">
        <f>Gia_VLieu!D13</f>
        <v>8000</v>
      </c>
      <c r="E1433" s="72">
        <v>1.2</v>
      </c>
      <c r="F1433" s="21">
        <f t="shared" si="101"/>
        <v>9600</v>
      </c>
      <c r="H1433" s="12">
        <v>1429</v>
      </c>
    </row>
    <row r="1434" spans="1:8" s="5" customFormat="1">
      <c r="A1434" s="57">
        <v>11</v>
      </c>
      <c r="B1434" s="58" t="s">
        <v>87</v>
      </c>
      <c r="C1434" s="59" t="str">
        <f>Gia_VLieu!C14</f>
        <v>cái</v>
      </c>
      <c r="D1434" s="87">
        <f>Gia_VLieu!D14</f>
        <v>15000</v>
      </c>
      <c r="E1434" s="73">
        <v>3</v>
      </c>
      <c r="F1434" s="55">
        <f>D1434*E1434</f>
        <v>45000</v>
      </c>
      <c r="H1434" s="12">
        <v>1430</v>
      </c>
    </row>
    <row r="1435" spans="1:8" s="46" customFormat="1">
      <c r="A1435" s="44" t="e">
        <f>#REF!</f>
        <v>#REF!</v>
      </c>
      <c r="B1435" s="45" t="e">
        <f>#REF!</f>
        <v>#REF!</v>
      </c>
      <c r="C1435" s="20"/>
      <c r="D1435" s="151">
        <f>Gia_VLieu!D$16</f>
        <v>1</v>
      </c>
      <c r="E1435" s="63"/>
      <c r="F1435" s="23">
        <f>SUM(F1436:F1446)*D1435</f>
        <v>141500</v>
      </c>
      <c r="H1435" s="12">
        <v>1431</v>
      </c>
    </row>
    <row r="1436" spans="1:8" s="5" customFormat="1">
      <c r="A1436" s="15">
        <v>1</v>
      </c>
      <c r="B1436" s="7" t="s">
        <v>77</v>
      </c>
      <c r="C1436" s="8" t="str">
        <f>Gia_VLieu!C4</f>
        <v>gram</v>
      </c>
      <c r="D1436" s="86">
        <f>Gia_VLieu!D4</f>
        <v>45000</v>
      </c>
      <c r="E1436" s="72">
        <v>0.4</v>
      </c>
      <c r="F1436" s="21">
        <f>D1436*E1436</f>
        <v>18000</v>
      </c>
      <c r="H1436" s="12">
        <v>1432</v>
      </c>
    </row>
    <row r="1437" spans="1:8" s="5" customFormat="1">
      <c r="A1437" s="15">
        <v>2</v>
      </c>
      <c r="B1437" s="7" t="s">
        <v>78</v>
      </c>
      <c r="C1437" s="8" t="str">
        <f>Gia_VLieu!C5</f>
        <v>hộp</v>
      </c>
      <c r="D1437" s="86">
        <f>Gia_VLieu!D5</f>
        <v>1450000</v>
      </c>
      <c r="E1437" s="72">
        <v>0.01</v>
      </c>
      <c r="F1437" s="21">
        <f t="shared" ref="F1437:F1445" si="102">D1437*E1437</f>
        <v>14500</v>
      </c>
      <c r="H1437" s="12">
        <v>1433</v>
      </c>
    </row>
    <row r="1438" spans="1:8" s="5" customFormat="1">
      <c r="A1438" s="15">
        <v>3</v>
      </c>
      <c r="B1438" s="7" t="s">
        <v>79</v>
      </c>
      <c r="C1438" s="8" t="str">
        <f>Gia_VLieu!C6</f>
        <v>hộp</v>
      </c>
      <c r="D1438" s="86">
        <f>Gia_VLieu!D6</f>
        <v>250000</v>
      </c>
      <c r="E1438" s="72">
        <v>0.01</v>
      </c>
      <c r="F1438" s="21">
        <f t="shared" si="102"/>
        <v>2500</v>
      </c>
      <c r="H1438" s="12">
        <v>1434</v>
      </c>
    </row>
    <row r="1439" spans="1:8" s="5" customFormat="1">
      <c r="A1439" s="15">
        <v>4</v>
      </c>
      <c r="B1439" s="7" t="s">
        <v>80</v>
      </c>
      <c r="C1439" s="8" t="str">
        <f>Gia_VLieu!C7</f>
        <v>quyển</v>
      </c>
      <c r="D1439" s="86">
        <f>Gia_VLieu!D7</f>
        <v>10000</v>
      </c>
      <c r="E1439" s="72">
        <v>2</v>
      </c>
      <c r="F1439" s="21">
        <f t="shared" si="102"/>
        <v>20000</v>
      </c>
      <c r="H1439" s="12">
        <v>1435</v>
      </c>
    </row>
    <row r="1440" spans="1:8" s="5" customFormat="1">
      <c r="A1440" s="15">
        <v>5</v>
      </c>
      <c r="B1440" s="7" t="s">
        <v>21</v>
      </c>
      <c r="C1440" s="8" t="str">
        <f>Gia_VLieu!C8</f>
        <v>cái</v>
      </c>
      <c r="D1440" s="86">
        <f>Gia_VLieu!D8</f>
        <v>2000</v>
      </c>
      <c r="E1440" s="72">
        <v>3</v>
      </c>
      <c r="F1440" s="21">
        <f t="shared" si="102"/>
        <v>6000</v>
      </c>
      <c r="H1440" s="12">
        <v>1436</v>
      </c>
    </row>
    <row r="1441" spans="1:8" s="5" customFormat="1">
      <c r="A1441" s="15">
        <v>6</v>
      </c>
      <c r="B1441" s="7" t="s">
        <v>82</v>
      </c>
      <c r="C1441" s="8" t="str">
        <f>Gia_VLieu!C9</f>
        <v>cái</v>
      </c>
      <c r="D1441" s="86">
        <f>Gia_VLieu!D9</f>
        <v>8000</v>
      </c>
      <c r="E1441" s="72">
        <v>1</v>
      </c>
      <c r="F1441" s="21">
        <f t="shared" si="102"/>
        <v>8000</v>
      </c>
      <c r="H1441" s="12">
        <v>1437</v>
      </c>
    </row>
    <row r="1442" spans="1:8" s="5" customFormat="1">
      <c r="A1442" s="15">
        <v>7</v>
      </c>
      <c r="B1442" s="7" t="s">
        <v>83</v>
      </c>
      <c r="C1442" s="8" t="str">
        <f>Gia_VLieu!C10</f>
        <v>cái</v>
      </c>
      <c r="D1442" s="86">
        <f>Gia_VLieu!D10</f>
        <v>10000</v>
      </c>
      <c r="E1442" s="72">
        <v>1</v>
      </c>
      <c r="F1442" s="21">
        <f t="shared" si="102"/>
        <v>10000</v>
      </c>
      <c r="H1442" s="12">
        <v>1438</v>
      </c>
    </row>
    <row r="1443" spans="1:8" s="5" customFormat="1">
      <c r="A1443" s="15">
        <v>8</v>
      </c>
      <c r="B1443" s="7" t="s">
        <v>84</v>
      </c>
      <c r="C1443" s="8" t="str">
        <f>Gia_VLieu!C11</f>
        <v>hộp</v>
      </c>
      <c r="D1443" s="86">
        <f>Gia_VLieu!D11</f>
        <v>2500</v>
      </c>
      <c r="E1443" s="72">
        <v>1.8</v>
      </c>
      <c r="F1443" s="21">
        <f t="shared" si="102"/>
        <v>4500</v>
      </c>
      <c r="H1443" s="12">
        <v>1439</v>
      </c>
    </row>
    <row r="1444" spans="1:8" s="5" customFormat="1">
      <c r="A1444" s="15">
        <v>9</v>
      </c>
      <c r="B1444" s="7" t="s">
        <v>85</v>
      </c>
      <c r="C1444" s="8" t="str">
        <f>Gia_VLieu!C12</f>
        <v>hộp</v>
      </c>
      <c r="D1444" s="86">
        <f>Gia_VLieu!D12</f>
        <v>2000</v>
      </c>
      <c r="E1444" s="72">
        <v>0.5</v>
      </c>
      <c r="F1444" s="21">
        <f t="shared" si="102"/>
        <v>1000</v>
      </c>
      <c r="H1444" s="12">
        <v>1440</v>
      </c>
    </row>
    <row r="1445" spans="1:8" s="5" customFormat="1">
      <c r="A1445" s="15">
        <v>10</v>
      </c>
      <c r="B1445" s="7" t="s">
        <v>86</v>
      </c>
      <c r="C1445" s="8" t="str">
        <f>Gia_VLieu!C13</f>
        <v>tập</v>
      </c>
      <c r="D1445" s="86">
        <f>Gia_VLieu!D13</f>
        <v>8000</v>
      </c>
      <c r="E1445" s="72">
        <v>1.5</v>
      </c>
      <c r="F1445" s="21">
        <f t="shared" si="102"/>
        <v>12000</v>
      </c>
      <c r="H1445" s="12">
        <v>1441</v>
      </c>
    </row>
    <row r="1446" spans="1:8" s="5" customFormat="1">
      <c r="A1446" s="57">
        <v>11</v>
      </c>
      <c r="B1446" s="58" t="s">
        <v>87</v>
      </c>
      <c r="C1446" s="59" t="str">
        <f>Gia_VLieu!C14</f>
        <v>cái</v>
      </c>
      <c r="D1446" s="87">
        <f>Gia_VLieu!D14</f>
        <v>15000</v>
      </c>
      <c r="E1446" s="73">
        <v>3</v>
      </c>
      <c r="F1446" s="55">
        <f>D1446*E1446</f>
        <v>45000</v>
      </c>
      <c r="H1446" s="12">
        <v>1442</v>
      </c>
    </row>
    <row r="1447" spans="1:8" s="46" customFormat="1">
      <c r="A1447" s="44" t="e">
        <f>#REF!</f>
        <v>#REF!</v>
      </c>
      <c r="B1447" s="45" t="e">
        <f>#REF!</f>
        <v>#REF!</v>
      </c>
      <c r="C1447" s="20"/>
      <c r="D1447" s="151">
        <f>Gia_VLieu!D$16</f>
        <v>1</v>
      </c>
      <c r="E1447" s="63"/>
      <c r="F1447" s="23">
        <f>SUM(F1448:F1458)*D1447</f>
        <v>141500</v>
      </c>
      <c r="H1447" s="12">
        <v>1443</v>
      </c>
    </row>
    <row r="1448" spans="1:8" s="5" customFormat="1">
      <c r="A1448" s="15">
        <v>1</v>
      </c>
      <c r="B1448" s="7" t="s">
        <v>77</v>
      </c>
      <c r="C1448" s="8" t="str">
        <f>Gia_VLieu!C4</f>
        <v>gram</v>
      </c>
      <c r="D1448" s="86">
        <f>Gia_VLieu!D4</f>
        <v>45000</v>
      </c>
      <c r="E1448" s="72">
        <v>0.4</v>
      </c>
      <c r="F1448" s="21">
        <f>D1448*E1448</f>
        <v>18000</v>
      </c>
      <c r="H1448" s="12">
        <v>1444</v>
      </c>
    </row>
    <row r="1449" spans="1:8" s="5" customFormat="1">
      <c r="A1449" s="15">
        <v>2</v>
      </c>
      <c r="B1449" s="7" t="s">
        <v>78</v>
      </c>
      <c r="C1449" s="8" t="str">
        <f>Gia_VLieu!C5</f>
        <v>hộp</v>
      </c>
      <c r="D1449" s="86">
        <f>Gia_VLieu!D5</f>
        <v>1450000</v>
      </c>
      <c r="E1449" s="72">
        <v>0.01</v>
      </c>
      <c r="F1449" s="21">
        <f t="shared" ref="F1449:F1457" si="103">D1449*E1449</f>
        <v>14500</v>
      </c>
      <c r="H1449" s="12">
        <v>1445</v>
      </c>
    </row>
    <row r="1450" spans="1:8" s="5" customFormat="1">
      <c r="A1450" s="15">
        <v>3</v>
      </c>
      <c r="B1450" s="7" t="s">
        <v>79</v>
      </c>
      <c r="C1450" s="8" t="str">
        <f>Gia_VLieu!C6</f>
        <v>hộp</v>
      </c>
      <c r="D1450" s="86">
        <f>Gia_VLieu!D6</f>
        <v>250000</v>
      </c>
      <c r="E1450" s="72">
        <v>0.01</v>
      </c>
      <c r="F1450" s="21">
        <f t="shared" si="103"/>
        <v>2500</v>
      </c>
      <c r="H1450" s="12">
        <v>1446</v>
      </c>
    </row>
    <row r="1451" spans="1:8" s="5" customFormat="1">
      <c r="A1451" s="15">
        <v>4</v>
      </c>
      <c r="B1451" s="7" t="s">
        <v>80</v>
      </c>
      <c r="C1451" s="8" t="str">
        <f>Gia_VLieu!C7</f>
        <v>quyển</v>
      </c>
      <c r="D1451" s="86">
        <f>Gia_VLieu!D7</f>
        <v>10000</v>
      </c>
      <c r="E1451" s="72">
        <v>2</v>
      </c>
      <c r="F1451" s="21">
        <f t="shared" si="103"/>
        <v>20000</v>
      </c>
      <c r="H1451" s="12">
        <v>1447</v>
      </c>
    </row>
    <row r="1452" spans="1:8" s="5" customFormat="1">
      <c r="A1452" s="15">
        <v>5</v>
      </c>
      <c r="B1452" s="7" t="s">
        <v>21</v>
      </c>
      <c r="C1452" s="8" t="str">
        <f>Gia_VLieu!C8</f>
        <v>cái</v>
      </c>
      <c r="D1452" s="86">
        <f>Gia_VLieu!D8</f>
        <v>2000</v>
      </c>
      <c r="E1452" s="72">
        <v>3</v>
      </c>
      <c r="F1452" s="21">
        <f t="shared" si="103"/>
        <v>6000</v>
      </c>
      <c r="H1452" s="12">
        <v>1448</v>
      </c>
    </row>
    <row r="1453" spans="1:8" s="5" customFormat="1">
      <c r="A1453" s="15">
        <v>6</v>
      </c>
      <c r="B1453" s="7" t="s">
        <v>82</v>
      </c>
      <c r="C1453" s="8" t="str">
        <f>Gia_VLieu!C9</f>
        <v>cái</v>
      </c>
      <c r="D1453" s="86">
        <f>Gia_VLieu!D9</f>
        <v>8000</v>
      </c>
      <c r="E1453" s="72">
        <v>1</v>
      </c>
      <c r="F1453" s="21">
        <f t="shared" si="103"/>
        <v>8000</v>
      </c>
      <c r="H1453" s="12">
        <v>1449</v>
      </c>
    </row>
    <row r="1454" spans="1:8" s="5" customFormat="1">
      <c r="A1454" s="15">
        <v>7</v>
      </c>
      <c r="B1454" s="7" t="s">
        <v>83</v>
      </c>
      <c r="C1454" s="8" t="str">
        <f>Gia_VLieu!C10</f>
        <v>cái</v>
      </c>
      <c r="D1454" s="86">
        <f>Gia_VLieu!D10</f>
        <v>10000</v>
      </c>
      <c r="E1454" s="72">
        <v>1</v>
      </c>
      <c r="F1454" s="21">
        <f t="shared" si="103"/>
        <v>10000</v>
      </c>
      <c r="H1454" s="12">
        <v>1450</v>
      </c>
    </row>
    <row r="1455" spans="1:8" s="5" customFormat="1">
      <c r="A1455" s="15">
        <v>8</v>
      </c>
      <c r="B1455" s="7" t="s">
        <v>84</v>
      </c>
      <c r="C1455" s="8" t="str">
        <f>Gia_VLieu!C11</f>
        <v>hộp</v>
      </c>
      <c r="D1455" s="86">
        <f>Gia_VLieu!D11</f>
        <v>2500</v>
      </c>
      <c r="E1455" s="72">
        <v>1.8</v>
      </c>
      <c r="F1455" s="21">
        <f t="shared" si="103"/>
        <v>4500</v>
      </c>
      <c r="H1455" s="12">
        <v>1451</v>
      </c>
    </row>
    <row r="1456" spans="1:8" s="5" customFormat="1">
      <c r="A1456" s="15">
        <v>9</v>
      </c>
      <c r="B1456" s="7" t="s">
        <v>85</v>
      </c>
      <c r="C1456" s="8" t="str">
        <f>Gia_VLieu!C12</f>
        <v>hộp</v>
      </c>
      <c r="D1456" s="86">
        <f>Gia_VLieu!D12</f>
        <v>2000</v>
      </c>
      <c r="E1456" s="72">
        <v>0.5</v>
      </c>
      <c r="F1456" s="21">
        <f t="shared" si="103"/>
        <v>1000</v>
      </c>
      <c r="H1456" s="12">
        <v>1452</v>
      </c>
    </row>
    <row r="1457" spans="1:8" s="5" customFormat="1">
      <c r="A1457" s="15">
        <v>10</v>
      </c>
      <c r="B1457" s="7" t="s">
        <v>86</v>
      </c>
      <c r="C1457" s="8" t="str">
        <f>Gia_VLieu!C13</f>
        <v>tập</v>
      </c>
      <c r="D1457" s="86">
        <f>Gia_VLieu!D13</f>
        <v>8000</v>
      </c>
      <c r="E1457" s="72">
        <v>1.5</v>
      </c>
      <c r="F1457" s="21">
        <f t="shared" si="103"/>
        <v>12000</v>
      </c>
      <c r="H1457" s="12">
        <v>1453</v>
      </c>
    </row>
    <row r="1458" spans="1:8" s="5" customFormat="1">
      <c r="A1458" s="57">
        <v>11</v>
      </c>
      <c r="B1458" s="58" t="s">
        <v>87</v>
      </c>
      <c r="C1458" s="59" t="str">
        <f>Gia_VLieu!C14</f>
        <v>cái</v>
      </c>
      <c r="D1458" s="87">
        <f>Gia_VLieu!D14</f>
        <v>15000</v>
      </c>
      <c r="E1458" s="73">
        <v>3</v>
      </c>
      <c r="F1458" s="55">
        <f>D1458*E1458</f>
        <v>45000</v>
      </c>
      <c r="H1458" s="12">
        <v>1454</v>
      </c>
    </row>
    <row r="1459" spans="1:8" s="46" customFormat="1">
      <c r="A1459" s="44" t="e">
        <f>#REF!</f>
        <v>#REF!</v>
      </c>
      <c r="B1459" s="45" t="e">
        <f>#REF!</f>
        <v>#REF!</v>
      </c>
      <c r="C1459" s="20"/>
      <c r="D1459" s="151">
        <f>Gia_VLieu!D$16</f>
        <v>1</v>
      </c>
      <c r="E1459" s="63"/>
      <c r="F1459" s="23">
        <f>SUM(F1460:F1470)*D1459</f>
        <v>79250</v>
      </c>
      <c r="H1459" s="12">
        <v>1455</v>
      </c>
    </row>
    <row r="1460" spans="1:8" s="5" customFormat="1">
      <c r="A1460" s="15">
        <v>1</v>
      </c>
      <c r="B1460" s="7" t="s">
        <v>77</v>
      </c>
      <c r="C1460" s="8" t="str">
        <f>Gia_VLieu!C4</f>
        <v>gram</v>
      </c>
      <c r="D1460" s="86">
        <f>Gia_VLieu!D4</f>
        <v>45000</v>
      </c>
      <c r="E1460" s="72">
        <v>0.2</v>
      </c>
      <c r="F1460" s="21">
        <f>D1460*E1460</f>
        <v>9000</v>
      </c>
      <c r="H1460" s="12">
        <v>1456</v>
      </c>
    </row>
    <row r="1461" spans="1:8" s="5" customFormat="1">
      <c r="A1461" s="15">
        <v>2</v>
      </c>
      <c r="B1461" s="7" t="s">
        <v>78</v>
      </c>
      <c r="C1461" s="8" t="str">
        <f>Gia_VLieu!C5</f>
        <v>hộp</v>
      </c>
      <c r="D1461" s="86">
        <f>Gia_VLieu!D5</f>
        <v>1450000</v>
      </c>
      <c r="E1461" s="72">
        <v>0.01</v>
      </c>
      <c r="F1461" s="21">
        <f t="shared" ref="F1461:F1469" si="104">D1461*E1461</f>
        <v>14500</v>
      </c>
      <c r="H1461" s="12">
        <v>1457</v>
      </c>
    </row>
    <row r="1462" spans="1:8" s="5" customFormat="1">
      <c r="A1462" s="15">
        <v>3</v>
      </c>
      <c r="B1462" s="7" t="s">
        <v>79</v>
      </c>
      <c r="C1462" s="8" t="str">
        <f>Gia_VLieu!C6</f>
        <v>hộp</v>
      </c>
      <c r="D1462" s="86">
        <f>Gia_VLieu!D6</f>
        <v>250000</v>
      </c>
      <c r="E1462" s="72">
        <v>0.01</v>
      </c>
      <c r="F1462" s="21">
        <f t="shared" si="104"/>
        <v>2500</v>
      </c>
      <c r="H1462" s="12">
        <v>1458</v>
      </c>
    </row>
    <row r="1463" spans="1:8" s="5" customFormat="1">
      <c r="A1463" s="15">
        <v>4</v>
      </c>
      <c r="B1463" s="7" t="s">
        <v>80</v>
      </c>
      <c r="C1463" s="8" t="str">
        <f>Gia_VLieu!C7</f>
        <v>quyển</v>
      </c>
      <c r="D1463" s="86">
        <f>Gia_VLieu!D7</f>
        <v>10000</v>
      </c>
      <c r="E1463" s="72">
        <v>1</v>
      </c>
      <c r="F1463" s="21">
        <f t="shared" si="104"/>
        <v>10000</v>
      </c>
      <c r="H1463" s="12">
        <v>1459</v>
      </c>
    </row>
    <row r="1464" spans="1:8" s="5" customFormat="1">
      <c r="A1464" s="15">
        <v>5</v>
      </c>
      <c r="B1464" s="7" t="s">
        <v>21</v>
      </c>
      <c r="C1464" s="8" t="str">
        <f>Gia_VLieu!C8</f>
        <v>cái</v>
      </c>
      <c r="D1464" s="86">
        <f>Gia_VLieu!D8</f>
        <v>2000</v>
      </c>
      <c r="E1464" s="72">
        <v>1.5</v>
      </c>
      <c r="F1464" s="21">
        <f t="shared" si="104"/>
        <v>3000</v>
      </c>
      <c r="H1464" s="12">
        <v>1460</v>
      </c>
    </row>
    <row r="1465" spans="1:8" s="5" customFormat="1">
      <c r="A1465" s="15">
        <v>6</v>
      </c>
      <c r="B1465" s="7" t="s">
        <v>82</v>
      </c>
      <c r="C1465" s="8" t="str">
        <f>Gia_VLieu!C9</f>
        <v>cái</v>
      </c>
      <c r="D1465" s="86">
        <f>Gia_VLieu!D9</f>
        <v>8000</v>
      </c>
      <c r="E1465" s="72">
        <v>0.5</v>
      </c>
      <c r="F1465" s="21">
        <f t="shared" si="104"/>
        <v>4000</v>
      </c>
      <c r="H1465" s="12">
        <v>1461</v>
      </c>
    </row>
    <row r="1466" spans="1:8" s="5" customFormat="1">
      <c r="A1466" s="15">
        <v>7</v>
      </c>
      <c r="B1466" s="7" t="s">
        <v>83</v>
      </c>
      <c r="C1466" s="8" t="str">
        <f>Gia_VLieu!C10</f>
        <v>cái</v>
      </c>
      <c r="D1466" s="86">
        <f>Gia_VLieu!D10</f>
        <v>10000</v>
      </c>
      <c r="E1466" s="72">
        <v>0.5</v>
      </c>
      <c r="F1466" s="21">
        <f t="shared" si="104"/>
        <v>5000</v>
      </c>
      <c r="H1466" s="12">
        <v>1462</v>
      </c>
    </row>
    <row r="1467" spans="1:8" s="5" customFormat="1">
      <c r="A1467" s="15">
        <v>8</v>
      </c>
      <c r="B1467" s="7" t="s">
        <v>84</v>
      </c>
      <c r="C1467" s="8" t="str">
        <f>Gia_VLieu!C11</f>
        <v>hộp</v>
      </c>
      <c r="D1467" s="86">
        <f>Gia_VLieu!D11</f>
        <v>2500</v>
      </c>
      <c r="E1467" s="72">
        <v>0.9</v>
      </c>
      <c r="F1467" s="21">
        <f t="shared" si="104"/>
        <v>2250</v>
      </c>
      <c r="H1467" s="12">
        <v>1463</v>
      </c>
    </row>
    <row r="1468" spans="1:8" s="5" customFormat="1">
      <c r="A1468" s="15">
        <v>9</v>
      </c>
      <c r="B1468" s="7" t="s">
        <v>85</v>
      </c>
      <c r="C1468" s="8" t="str">
        <f>Gia_VLieu!C12</f>
        <v>hộp</v>
      </c>
      <c r="D1468" s="86">
        <f>Gia_VLieu!D12</f>
        <v>2000</v>
      </c>
      <c r="E1468" s="72">
        <v>0.25</v>
      </c>
      <c r="F1468" s="21">
        <f t="shared" si="104"/>
        <v>500</v>
      </c>
      <c r="H1468" s="12">
        <v>1464</v>
      </c>
    </row>
    <row r="1469" spans="1:8" s="5" customFormat="1">
      <c r="A1469" s="15">
        <v>10</v>
      </c>
      <c r="B1469" s="7" t="s">
        <v>86</v>
      </c>
      <c r="C1469" s="8" t="str">
        <f>Gia_VLieu!C13</f>
        <v>tập</v>
      </c>
      <c r="D1469" s="86">
        <f>Gia_VLieu!D13</f>
        <v>8000</v>
      </c>
      <c r="E1469" s="72">
        <v>0.75</v>
      </c>
      <c r="F1469" s="21">
        <f t="shared" si="104"/>
        <v>6000</v>
      </c>
      <c r="H1469" s="12">
        <v>1465</v>
      </c>
    </row>
    <row r="1470" spans="1:8" s="5" customFormat="1">
      <c r="A1470" s="57">
        <v>11</v>
      </c>
      <c r="B1470" s="58" t="s">
        <v>87</v>
      </c>
      <c r="C1470" s="59" t="str">
        <f>Gia_VLieu!C14</f>
        <v>cái</v>
      </c>
      <c r="D1470" s="87">
        <f>Gia_VLieu!D14</f>
        <v>15000</v>
      </c>
      <c r="E1470" s="73">
        <v>1.5</v>
      </c>
      <c r="F1470" s="55">
        <f>D1470*E1470</f>
        <v>22500</v>
      </c>
      <c r="H1470" s="12">
        <v>1466</v>
      </c>
    </row>
    <row r="1471" spans="1:8" s="46" customFormat="1">
      <c r="A1471" s="44" t="e">
        <f>#REF!</f>
        <v>#REF!</v>
      </c>
      <c r="B1471" s="45" t="e">
        <f>#REF!</f>
        <v>#REF!</v>
      </c>
      <c r="C1471" s="20"/>
      <c r="D1471" s="151">
        <f>Gia_VLieu!D$16</f>
        <v>1</v>
      </c>
      <c r="E1471" s="63"/>
      <c r="F1471" s="23">
        <f>SUM(F1472:F1482)*D1471</f>
        <v>79250</v>
      </c>
      <c r="H1471" s="12">
        <v>1467</v>
      </c>
    </row>
    <row r="1472" spans="1:8" s="5" customFormat="1">
      <c r="A1472" s="15">
        <v>1</v>
      </c>
      <c r="B1472" s="7" t="s">
        <v>77</v>
      </c>
      <c r="C1472" s="8" t="str">
        <f>Gia_VLieu!C4</f>
        <v>gram</v>
      </c>
      <c r="D1472" s="86">
        <f>Gia_VLieu!D4</f>
        <v>45000</v>
      </c>
      <c r="E1472" s="72">
        <v>0.2</v>
      </c>
      <c r="F1472" s="21">
        <f>D1472*E1472</f>
        <v>9000</v>
      </c>
      <c r="H1472" s="12">
        <v>1468</v>
      </c>
    </row>
    <row r="1473" spans="1:8" s="5" customFormat="1">
      <c r="A1473" s="15">
        <v>2</v>
      </c>
      <c r="B1473" s="7" t="s">
        <v>78</v>
      </c>
      <c r="C1473" s="8" t="str">
        <f>Gia_VLieu!C5</f>
        <v>hộp</v>
      </c>
      <c r="D1473" s="86">
        <f>Gia_VLieu!D5</f>
        <v>1450000</v>
      </c>
      <c r="E1473" s="72">
        <v>0.01</v>
      </c>
      <c r="F1473" s="21">
        <f t="shared" ref="F1473:F1481" si="105">D1473*E1473</f>
        <v>14500</v>
      </c>
      <c r="H1473" s="12">
        <v>1469</v>
      </c>
    </row>
    <row r="1474" spans="1:8" s="5" customFormat="1">
      <c r="A1474" s="15">
        <v>3</v>
      </c>
      <c r="B1474" s="7" t="s">
        <v>79</v>
      </c>
      <c r="C1474" s="8" t="str">
        <f>Gia_VLieu!C6</f>
        <v>hộp</v>
      </c>
      <c r="D1474" s="86">
        <f>Gia_VLieu!D6</f>
        <v>250000</v>
      </c>
      <c r="E1474" s="72">
        <v>0.01</v>
      </c>
      <c r="F1474" s="21">
        <f t="shared" si="105"/>
        <v>2500</v>
      </c>
      <c r="H1474" s="12">
        <v>1470</v>
      </c>
    </row>
    <row r="1475" spans="1:8" s="5" customFormat="1">
      <c r="A1475" s="15">
        <v>4</v>
      </c>
      <c r="B1475" s="7" t="s">
        <v>80</v>
      </c>
      <c r="C1475" s="8" t="str">
        <f>Gia_VLieu!C7</f>
        <v>quyển</v>
      </c>
      <c r="D1475" s="86">
        <f>Gia_VLieu!D7</f>
        <v>10000</v>
      </c>
      <c r="E1475" s="72">
        <v>1</v>
      </c>
      <c r="F1475" s="21">
        <f t="shared" si="105"/>
        <v>10000</v>
      </c>
      <c r="H1475" s="12">
        <v>1471</v>
      </c>
    </row>
    <row r="1476" spans="1:8" s="5" customFormat="1">
      <c r="A1476" s="15">
        <v>5</v>
      </c>
      <c r="B1476" s="7" t="s">
        <v>21</v>
      </c>
      <c r="C1476" s="8" t="str">
        <f>Gia_VLieu!C8</f>
        <v>cái</v>
      </c>
      <c r="D1476" s="86">
        <f>Gia_VLieu!D8</f>
        <v>2000</v>
      </c>
      <c r="E1476" s="72">
        <v>1.5</v>
      </c>
      <c r="F1476" s="21">
        <f t="shared" si="105"/>
        <v>3000</v>
      </c>
      <c r="H1476" s="12">
        <v>1472</v>
      </c>
    </row>
    <row r="1477" spans="1:8" s="5" customFormat="1">
      <c r="A1477" s="15">
        <v>6</v>
      </c>
      <c r="B1477" s="7" t="s">
        <v>82</v>
      </c>
      <c r="C1477" s="8" t="str">
        <f>Gia_VLieu!C9</f>
        <v>cái</v>
      </c>
      <c r="D1477" s="86">
        <f>Gia_VLieu!D9</f>
        <v>8000</v>
      </c>
      <c r="E1477" s="72">
        <v>0.5</v>
      </c>
      <c r="F1477" s="21">
        <f t="shared" si="105"/>
        <v>4000</v>
      </c>
      <c r="H1477" s="12">
        <v>1473</v>
      </c>
    </row>
    <row r="1478" spans="1:8" s="5" customFormat="1">
      <c r="A1478" s="15">
        <v>7</v>
      </c>
      <c r="B1478" s="7" t="s">
        <v>83</v>
      </c>
      <c r="C1478" s="8" t="str">
        <f>Gia_VLieu!C10</f>
        <v>cái</v>
      </c>
      <c r="D1478" s="86">
        <f>Gia_VLieu!D10</f>
        <v>10000</v>
      </c>
      <c r="E1478" s="72">
        <v>0.5</v>
      </c>
      <c r="F1478" s="21">
        <f t="shared" si="105"/>
        <v>5000</v>
      </c>
      <c r="H1478" s="12">
        <v>1474</v>
      </c>
    </row>
    <row r="1479" spans="1:8" s="5" customFormat="1">
      <c r="A1479" s="15">
        <v>8</v>
      </c>
      <c r="B1479" s="7" t="s">
        <v>84</v>
      </c>
      <c r="C1479" s="8" t="str">
        <f>Gia_VLieu!C11</f>
        <v>hộp</v>
      </c>
      <c r="D1479" s="86">
        <f>Gia_VLieu!D11</f>
        <v>2500</v>
      </c>
      <c r="E1479" s="72">
        <v>0.9</v>
      </c>
      <c r="F1479" s="21">
        <f t="shared" si="105"/>
        <v>2250</v>
      </c>
      <c r="H1479" s="12">
        <v>1475</v>
      </c>
    </row>
    <row r="1480" spans="1:8" s="5" customFormat="1">
      <c r="A1480" s="15">
        <v>9</v>
      </c>
      <c r="B1480" s="7" t="s">
        <v>85</v>
      </c>
      <c r="C1480" s="8" t="str">
        <f>Gia_VLieu!C12</f>
        <v>hộp</v>
      </c>
      <c r="D1480" s="86">
        <f>Gia_VLieu!D12</f>
        <v>2000</v>
      </c>
      <c r="E1480" s="72">
        <v>0.25</v>
      </c>
      <c r="F1480" s="21">
        <f t="shared" si="105"/>
        <v>500</v>
      </c>
      <c r="H1480" s="12">
        <v>1476</v>
      </c>
    </row>
    <row r="1481" spans="1:8" s="5" customFormat="1">
      <c r="A1481" s="15">
        <v>10</v>
      </c>
      <c r="B1481" s="7" t="s">
        <v>86</v>
      </c>
      <c r="C1481" s="8" t="str">
        <f>Gia_VLieu!C13</f>
        <v>tập</v>
      </c>
      <c r="D1481" s="86">
        <f>Gia_VLieu!D13</f>
        <v>8000</v>
      </c>
      <c r="E1481" s="72">
        <v>0.75</v>
      </c>
      <c r="F1481" s="21">
        <f t="shared" si="105"/>
        <v>6000</v>
      </c>
      <c r="H1481" s="12">
        <v>1477</v>
      </c>
    </row>
    <row r="1482" spans="1:8" s="5" customFormat="1">
      <c r="A1482" s="57">
        <v>11</v>
      </c>
      <c r="B1482" s="58" t="s">
        <v>87</v>
      </c>
      <c r="C1482" s="59" t="str">
        <f>Gia_VLieu!C14</f>
        <v>cái</v>
      </c>
      <c r="D1482" s="87">
        <f>Gia_VLieu!D14</f>
        <v>15000</v>
      </c>
      <c r="E1482" s="73">
        <v>1.5</v>
      </c>
      <c r="F1482" s="55">
        <f>D1482*E1482</f>
        <v>22500</v>
      </c>
      <c r="H1482" s="12">
        <v>1478</v>
      </c>
    </row>
    <row r="1483" spans="1:8" s="16" customFormat="1">
      <c r="A1483" s="14" t="e">
        <f>#REF!</f>
        <v>#REF!</v>
      </c>
      <c r="B1483" s="10" t="e">
        <f>#REF!</f>
        <v>#REF!</v>
      </c>
      <c r="C1483" s="9"/>
      <c r="D1483" s="92"/>
      <c r="E1483" s="66"/>
      <c r="F1483" s="22"/>
      <c r="H1483" s="12">
        <v>1479</v>
      </c>
    </row>
    <row r="1484" spans="1:8" s="46" customFormat="1">
      <c r="A1484" s="44" t="e">
        <f>#REF!</f>
        <v>#REF!</v>
      </c>
      <c r="B1484" s="45" t="e">
        <f>#REF!</f>
        <v>#REF!</v>
      </c>
      <c r="C1484" s="20"/>
      <c r="D1484" s="90"/>
      <c r="E1484" s="63"/>
      <c r="F1484" s="23"/>
      <c r="H1484" s="12">
        <v>1480</v>
      </c>
    </row>
    <row r="1485" spans="1:8" s="16" customFormat="1">
      <c r="A1485" s="14" t="e">
        <f>#REF!</f>
        <v>#REF!</v>
      </c>
      <c r="B1485" s="10" t="e">
        <f>#REF!</f>
        <v>#REF!</v>
      </c>
      <c r="C1485" s="9"/>
      <c r="D1485" s="151">
        <f>Gia_VLieu!D$16</f>
        <v>1</v>
      </c>
      <c r="E1485" s="63"/>
      <c r="F1485" s="23">
        <f>SUM(F1486:F1496)*D1485</f>
        <v>174500</v>
      </c>
      <c r="H1485" s="12">
        <v>1481</v>
      </c>
    </row>
    <row r="1486" spans="1:8" s="5" customFormat="1">
      <c r="A1486" s="15">
        <v>1</v>
      </c>
      <c r="B1486" s="7" t="s">
        <v>77</v>
      </c>
      <c r="C1486" s="8" t="str">
        <f>Gia_VLieu!C4</f>
        <v>gram</v>
      </c>
      <c r="D1486" s="86">
        <f>Gia_VLieu!D4</f>
        <v>45000</v>
      </c>
      <c r="E1486" s="72">
        <v>0.2</v>
      </c>
      <c r="F1486" s="21">
        <f>D1486*E1486</f>
        <v>9000</v>
      </c>
      <c r="H1486" s="12">
        <v>1482</v>
      </c>
    </row>
    <row r="1487" spans="1:8" s="5" customFormat="1">
      <c r="A1487" s="15">
        <v>2</v>
      </c>
      <c r="B1487" s="7" t="s">
        <v>78</v>
      </c>
      <c r="C1487" s="8" t="str">
        <f>Gia_VLieu!C5</f>
        <v>hộp</v>
      </c>
      <c r="D1487" s="86">
        <f>Gia_VLieu!D5</f>
        <v>1450000</v>
      </c>
      <c r="E1487" s="72">
        <v>0.04</v>
      </c>
      <c r="F1487" s="21">
        <f t="shared" ref="F1487:F1495" si="106">D1487*E1487</f>
        <v>58000</v>
      </c>
      <c r="H1487" s="12">
        <v>1483</v>
      </c>
    </row>
    <row r="1488" spans="1:8" s="5" customFormat="1">
      <c r="A1488" s="15">
        <v>3</v>
      </c>
      <c r="B1488" s="7" t="s">
        <v>79</v>
      </c>
      <c r="C1488" s="8" t="str">
        <f>Gia_VLieu!C6</f>
        <v>hộp</v>
      </c>
      <c r="D1488" s="86">
        <f>Gia_VLieu!D6</f>
        <v>250000</v>
      </c>
      <c r="E1488" s="72">
        <v>0.01</v>
      </c>
      <c r="F1488" s="21">
        <f t="shared" si="106"/>
        <v>2500</v>
      </c>
      <c r="H1488" s="12">
        <v>1484</v>
      </c>
    </row>
    <row r="1489" spans="1:8" s="5" customFormat="1">
      <c r="A1489" s="15">
        <v>4</v>
      </c>
      <c r="B1489" s="7" t="s">
        <v>80</v>
      </c>
      <c r="C1489" s="8" t="str">
        <f>Gia_VLieu!C7</f>
        <v>quyển</v>
      </c>
      <c r="D1489" s="86">
        <f>Gia_VLieu!D7</f>
        <v>10000</v>
      </c>
      <c r="E1489" s="72">
        <v>3</v>
      </c>
      <c r="F1489" s="21">
        <f t="shared" si="106"/>
        <v>30000</v>
      </c>
      <c r="H1489" s="12">
        <v>1485</v>
      </c>
    </row>
    <row r="1490" spans="1:8" s="5" customFormat="1">
      <c r="A1490" s="15">
        <v>5</v>
      </c>
      <c r="B1490" s="7" t="s">
        <v>21</v>
      </c>
      <c r="C1490" s="8" t="str">
        <f>Gia_VLieu!C8</f>
        <v>cái</v>
      </c>
      <c r="D1490" s="86">
        <f>Gia_VLieu!D8</f>
        <v>2000</v>
      </c>
      <c r="E1490" s="72">
        <v>4</v>
      </c>
      <c r="F1490" s="21">
        <f t="shared" si="106"/>
        <v>8000</v>
      </c>
      <c r="H1490" s="12">
        <v>1486</v>
      </c>
    </row>
    <row r="1491" spans="1:8" s="5" customFormat="1">
      <c r="A1491" s="15">
        <v>6</v>
      </c>
      <c r="B1491" s="7" t="s">
        <v>82</v>
      </c>
      <c r="C1491" s="8" t="str">
        <f>Gia_VLieu!C9</f>
        <v>cái</v>
      </c>
      <c r="D1491" s="86">
        <f>Gia_VLieu!D9</f>
        <v>8000</v>
      </c>
      <c r="E1491" s="72">
        <v>1</v>
      </c>
      <c r="F1491" s="21">
        <f t="shared" si="106"/>
        <v>8000</v>
      </c>
      <c r="H1491" s="12">
        <v>1487</v>
      </c>
    </row>
    <row r="1492" spans="1:8" s="5" customFormat="1">
      <c r="A1492" s="15">
        <v>7</v>
      </c>
      <c r="B1492" s="7" t="s">
        <v>83</v>
      </c>
      <c r="C1492" s="8" t="str">
        <f>Gia_VLieu!C10</f>
        <v>cái</v>
      </c>
      <c r="D1492" s="86">
        <f>Gia_VLieu!D10</f>
        <v>10000</v>
      </c>
      <c r="E1492" s="72">
        <v>1</v>
      </c>
      <c r="F1492" s="21">
        <f t="shared" si="106"/>
        <v>10000</v>
      </c>
      <c r="H1492" s="12">
        <v>1488</v>
      </c>
    </row>
    <row r="1493" spans="1:8" s="5" customFormat="1">
      <c r="A1493" s="15">
        <v>8</v>
      </c>
      <c r="B1493" s="7" t="s">
        <v>84</v>
      </c>
      <c r="C1493" s="8" t="str">
        <f>Gia_VLieu!C11</f>
        <v>hộp</v>
      </c>
      <c r="D1493" s="86">
        <f>Gia_VLieu!D11</f>
        <v>2500</v>
      </c>
      <c r="E1493" s="72">
        <v>2</v>
      </c>
      <c r="F1493" s="21">
        <f t="shared" si="106"/>
        <v>5000</v>
      </c>
      <c r="H1493" s="12">
        <v>1489</v>
      </c>
    </row>
    <row r="1494" spans="1:8" s="5" customFormat="1">
      <c r="A1494" s="15">
        <v>9</v>
      </c>
      <c r="B1494" s="7" t="s">
        <v>85</v>
      </c>
      <c r="C1494" s="8" t="str">
        <f>Gia_VLieu!C12</f>
        <v>hộp</v>
      </c>
      <c r="D1494" s="86">
        <f>Gia_VLieu!D12</f>
        <v>2000</v>
      </c>
      <c r="E1494" s="72">
        <v>1</v>
      </c>
      <c r="F1494" s="21">
        <f t="shared" si="106"/>
        <v>2000</v>
      </c>
      <c r="H1494" s="12">
        <v>1490</v>
      </c>
    </row>
    <row r="1495" spans="1:8" s="5" customFormat="1">
      <c r="A1495" s="15">
        <v>10</v>
      </c>
      <c r="B1495" s="7" t="s">
        <v>86</v>
      </c>
      <c r="C1495" s="8" t="str">
        <f>Gia_VLieu!C13</f>
        <v>tập</v>
      </c>
      <c r="D1495" s="86">
        <f>Gia_VLieu!D13</f>
        <v>8000</v>
      </c>
      <c r="E1495" s="72">
        <v>1.5</v>
      </c>
      <c r="F1495" s="21">
        <f t="shared" si="106"/>
        <v>12000</v>
      </c>
      <c r="H1495" s="12">
        <v>1491</v>
      </c>
    </row>
    <row r="1496" spans="1:8" s="5" customFormat="1">
      <c r="A1496" s="57">
        <v>11</v>
      </c>
      <c r="B1496" s="58" t="s">
        <v>87</v>
      </c>
      <c r="C1496" s="59" t="str">
        <f>Gia_VLieu!C14</f>
        <v>cái</v>
      </c>
      <c r="D1496" s="87">
        <f>Gia_VLieu!D14</f>
        <v>15000</v>
      </c>
      <c r="E1496" s="73">
        <v>2</v>
      </c>
      <c r="F1496" s="55">
        <f>D1496*E1496</f>
        <v>30000</v>
      </c>
      <c r="H1496" s="12">
        <v>1492</v>
      </c>
    </row>
    <row r="1497" spans="1:8" s="16" customFormat="1">
      <c r="A1497" s="14" t="e">
        <f>#REF!</f>
        <v>#REF!</v>
      </c>
      <c r="B1497" s="10" t="e">
        <f>#REF!</f>
        <v>#REF!</v>
      </c>
      <c r="C1497" s="9"/>
      <c r="D1497" s="92"/>
      <c r="E1497" s="66"/>
      <c r="F1497" s="22"/>
      <c r="H1497" s="12">
        <v>1493</v>
      </c>
    </row>
    <row r="1498" spans="1:8" s="46" customFormat="1">
      <c r="A1498" s="44" t="e">
        <f>#REF!</f>
        <v>#REF!</v>
      </c>
      <c r="B1498" s="45" t="e">
        <f>#REF!</f>
        <v>#REF!</v>
      </c>
      <c r="C1498" s="20"/>
      <c r="D1498" s="151">
        <f>Gia_VLieu!D$16</f>
        <v>1</v>
      </c>
      <c r="E1498" s="63"/>
      <c r="F1498" s="23">
        <f>SUM(F1499:F1509)*D1498</f>
        <v>263000</v>
      </c>
      <c r="H1498" s="12">
        <v>1494</v>
      </c>
    </row>
    <row r="1499" spans="1:8" s="5" customFormat="1">
      <c r="A1499" s="15">
        <v>1</v>
      </c>
      <c r="B1499" s="7" t="s">
        <v>77</v>
      </c>
      <c r="C1499" s="8" t="str">
        <f>Gia_VLieu!C4</f>
        <v>gram</v>
      </c>
      <c r="D1499" s="86">
        <f>Gia_VLieu!D4</f>
        <v>45000</v>
      </c>
      <c r="E1499" s="72">
        <v>0.3</v>
      </c>
      <c r="F1499" s="21">
        <f>D1499*E1499</f>
        <v>13500</v>
      </c>
      <c r="H1499" s="12">
        <v>1495</v>
      </c>
    </row>
    <row r="1500" spans="1:8" s="5" customFormat="1">
      <c r="A1500" s="15">
        <v>2</v>
      </c>
      <c r="B1500" s="7" t="s">
        <v>78</v>
      </c>
      <c r="C1500" s="8" t="str">
        <f>Gia_VLieu!C5</f>
        <v>hộp</v>
      </c>
      <c r="D1500" s="86">
        <f>Gia_VLieu!D5</f>
        <v>1450000</v>
      </c>
      <c r="E1500" s="72">
        <v>0.06</v>
      </c>
      <c r="F1500" s="21">
        <f t="shared" ref="F1500:F1508" si="107">D1500*E1500</f>
        <v>87000</v>
      </c>
      <c r="H1500" s="12">
        <v>1496</v>
      </c>
    </row>
    <row r="1501" spans="1:8" s="5" customFormat="1">
      <c r="A1501" s="15">
        <v>3</v>
      </c>
      <c r="B1501" s="7" t="s">
        <v>79</v>
      </c>
      <c r="C1501" s="8" t="str">
        <f>Gia_VLieu!C6</f>
        <v>hộp</v>
      </c>
      <c r="D1501" s="86">
        <f>Gia_VLieu!D6</f>
        <v>250000</v>
      </c>
      <c r="E1501" s="72">
        <v>0.02</v>
      </c>
      <c r="F1501" s="21">
        <f t="shared" si="107"/>
        <v>5000</v>
      </c>
      <c r="H1501" s="12">
        <v>1497</v>
      </c>
    </row>
    <row r="1502" spans="1:8" s="5" customFormat="1">
      <c r="A1502" s="15">
        <v>4</v>
      </c>
      <c r="B1502" s="7" t="s">
        <v>80</v>
      </c>
      <c r="C1502" s="8" t="str">
        <f>Gia_VLieu!C7</f>
        <v>quyển</v>
      </c>
      <c r="D1502" s="86">
        <f>Gia_VLieu!D7</f>
        <v>10000</v>
      </c>
      <c r="E1502" s="72">
        <v>4.5</v>
      </c>
      <c r="F1502" s="21">
        <f t="shared" si="107"/>
        <v>45000</v>
      </c>
      <c r="H1502" s="12">
        <v>1498</v>
      </c>
    </row>
    <row r="1503" spans="1:8" s="5" customFormat="1">
      <c r="A1503" s="15">
        <v>5</v>
      </c>
      <c r="B1503" s="7" t="s">
        <v>21</v>
      </c>
      <c r="C1503" s="8" t="str">
        <f>Gia_VLieu!C8</f>
        <v>cái</v>
      </c>
      <c r="D1503" s="86">
        <f>Gia_VLieu!D8</f>
        <v>2000</v>
      </c>
      <c r="E1503" s="72">
        <v>6</v>
      </c>
      <c r="F1503" s="21">
        <f t="shared" si="107"/>
        <v>12000</v>
      </c>
      <c r="H1503" s="12">
        <v>1499</v>
      </c>
    </row>
    <row r="1504" spans="1:8" s="5" customFormat="1">
      <c r="A1504" s="15">
        <v>6</v>
      </c>
      <c r="B1504" s="7" t="s">
        <v>82</v>
      </c>
      <c r="C1504" s="8" t="str">
        <f>Gia_VLieu!C9</f>
        <v>cái</v>
      </c>
      <c r="D1504" s="86">
        <f>Gia_VLieu!D9</f>
        <v>8000</v>
      </c>
      <c r="E1504" s="72">
        <v>1.5</v>
      </c>
      <c r="F1504" s="21">
        <f t="shared" si="107"/>
        <v>12000</v>
      </c>
      <c r="H1504" s="12">
        <v>1500</v>
      </c>
    </row>
    <row r="1505" spans="1:8" s="5" customFormat="1">
      <c r="A1505" s="15">
        <v>7</v>
      </c>
      <c r="B1505" s="7" t="s">
        <v>83</v>
      </c>
      <c r="C1505" s="8" t="str">
        <f>Gia_VLieu!C10</f>
        <v>cái</v>
      </c>
      <c r="D1505" s="86">
        <f>Gia_VLieu!D10</f>
        <v>10000</v>
      </c>
      <c r="E1505" s="72">
        <v>1.5</v>
      </c>
      <c r="F1505" s="21">
        <f t="shared" si="107"/>
        <v>15000</v>
      </c>
      <c r="H1505" s="12">
        <v>1501</v>
      </c>
    </row>
    <row r="1506" spans="1:8" s="5" customFormat="1">
      <c r="A1506" s="15">
        <v>8</v>
      </c>
      <c r="B1506" s="7" t="s">
        <v>84</v>
      </c>
      <c r="C1506" s="8" t="str">
        <f>Gia_VLieu!C11</f>
        <v>hộp</v>
      </c>
      <c r="D1506" s="86">
        <f>Gia_VLieu!D11</f>
        <v>2500</v>
      </c>
      <c r="E1506" s="72">
        <v>3</v>
      </c>
      <c r="F1506" s="21">
        <f t="shared" si="107"/>
        <v>7500</v>
      </c>
      <c r="H1506" s="12">
        <v>1502</v>
      </c>
    </row>
    <row r="1507" spans="1:8" s="5" customFormat="1">
      <c r="A1507" s="15">
        <v>9</v>
      </c>
      <c r="B1507" s="7" t="s">
        <v>85</v>
      </c>
      <c r="C1507" s="8" t="str">
        <f>Gia_VLieu!C12</f>
        <v>hộp</v>
      </c>
      <c r="D1507" s="86">
        <f>Gia_VLieu!D12</f>
        <v>2000</v>
      </c>
      <c r="E1507" s="72">
        <v>1.5</v>
      </c>
      <c r="F1507" s="21">
        <f t="shared" si="107"/>
        <v>3000</v>
      </c>
      <c r="H1507" s="12">
        <v>1503</v>
      </c>
    </row>
    <row r="1508" spans="1:8" s="5" customFormat="1">
      <c r="A1508" s="15">
        <v>10</v>
      </c>
      <c r="B1508" s="7" t="s">
        <v>86</v>
      </c>
      <c r="C1508" s="8" t="str">
        <f>Gia_VLieu!C13</f>
        <v>tập</v>
      </c>
      <c r="D1508" s="86">
        <f>Gia_VLieu!D13</f>
        <v>8000</v>
      </c>
      <c r="E1508" s="72">
        <v>2.25</v>
      </c>
      <c r="F1508" s="21">
        <f t="shared" si="107"/>
        <v>18000</v>
      </c>
      <c r="H1508" s="12">
        <v>1504</v>
      </c>
    </row>
    <row r="1509" spans="1:8" s="5" customFormat="1">
      <c r="A1509" s="57">
        <v>11</v>
      </c>
      <c r="B1509" s="58" t="s">
        <v>87</v>
      </c>
      <c r="C1509" s="59" t="str">
        <f>Gia_VLieu!C14</f>
        <v>cái</v>
      </c>
      <c r="D1509" s="87">
        <f>Gia_VLieu!D14</f>
        <v>15000</v>
      </c>
      <c r="E1509" s="73">
        <v>3</v>
      </c>
      <c r="F1509" s="55">
        <f>D1509*E1509</f>
        <v>45000</v>
      </c>
      <c r="H1509" s="12">
        <v>1505</v>
      </c>
    </row>
    <row r="1510" spans="1:8" s="46" customFormat="1">
      <c r="A1510" s="44" t="e">
        <f>#REF!</f>
        <v>#REF!</v>
      </c>
      <c r="B1510" s="45" t="e">
        <f>#REF!</f>
        <v>#REF!</v>
      </c>
      <c r="C1510" s="20"/>
      <c r="D1510" s="151">
        <f>Gia_VLieu!D$16</f>
        <v>1</v>
      </c>
      <c r="E1510" s="63"/>
      <c r="F1510" s="23">
        <f>SUM(F1511:F1521)*D1510</f>
        <v>131540</v>
      </c>
      <c r="H1510" s="12">
        <v>1506</v>
      </c>
    </row>
    <row r="1511" spans="1:8" s="5" customFormat="1">
      <c r="A1511" s="15">
        <v>1</v>
      </c>
      <c r="B1511" s="7" t="s">
        <v>77</v>
      </c>
      <c r="C1511" s="8" t="str">
        <f>Gia_VLieu!C4</f>
        <v>gram</v>
      </c>
      <c r="D1511" s="86">
        <f>Gia_VLieu!D4</f>
        <v>45000</v>
      </c>
      <c r="E1511" s="72">
        <v>0.15</v>
      </c>
      <c r="F1511" s="21">
        <f>D1511*E1511</f>
        <v>6750</v>
      </c>
      <c r="H1511" s="12">
        <v>1507</v>
      </c>
    </row>
    <row r="1512" spans="1:8" s="5" customFormat="1">
      <c r="A1512" s="15">
        <v>2</v>
      </c>
      <c r="B1512" s="7" t="s">
        <v>78</v>
      </c>
      <c r="C1512" s="8" t="str">
        <f>Gia_VLieu!C5</f>
        <v>hộp</v>
      </c>
      <c r="D1512" s="86">
        <f>Gia_VLieu!D5</f>
        <v>1450000</v>
      </c>
      <c r="E1512" s="72">
        <v>0.03</v>
      </c>
      <c r="F1512" s="21">
        <f t="shared" ref="F1512:F1520" si="108">D1512*E1512</f>
        <v>43500</v>
      </c>
      <c r="H1512" s="12">
        <v>1508</v>
      </c>
    </row>
    <row r="1513" spans="1:8" s="5" customFormat="1">
      <c r="A1513" s="15">
        <v>3</v>
      </c>
      <c r="B1513" s="7" t="s">
        <v>79</v>
      </c>
      <c r="C1513" s="8" t="str">
        <f>Gia_VLieu!C6</f>
        <v>hộp</v>
      </c>
      <c r="D1513" s="86">
        <f>Gia_VLieu!D6</f>
        <v>250000</v>
      </c>
      <c r="E1513" s="72">
        <v>0.01</v>
      </c>
      <c r="F1513" s="21">
        <f t="shared" si="108"/>
        <v>2500</v>
      </c>
      <c r="H1513" s="12">
        <v>1509</v>
      </c>
    </row>
    <row r="1514" spans="1:8" s="5" customFormat="1">
      <c r="A1514" s="15">
        <v>4</v>
      </c>
      <c r="B1514" s="7" t="s">
        <v>80</v>
      </c>
      <c r="C1514" s="8" t="str">
        <f>Gia_VLieu!C7</f>
        <v>quyển</v>
      </c>
      <c r="D1514" s="86">
        <f>Gia_VLieu!D7</f>
        <v>10000</v>
      </c>
      <c r="E1514" s="72">
        <v>2.25</v>
      </c>
      <c r="F1514" s="21">
        <f t="shared" si="108"/>
        <v>22500</v>
      </c>
      <c r="H1514" s="12">
        <v>1510</v>
      </c>
    </row>
    <row r="1515" spans="1:8" s="5" customFormat="1">
      <c r="A1515" s="15">
        <v>5</v>
      </c>
      <c r="B1515" s="7" t="s">
        <v>21</v>
      </c>
      <c r="C1515" s="8" t="str">
        <f>Gia_VLieu!C8</f>
        <v>cái</v>
      </c>
      <c r="D1515" s="86">
        <f>Gia_VLieu!D8</f>
        <v>2000</v>
      </c>
      <c r="E1515" s="72">
        <v>3</v>
      </c>
      <c r="F1515" s="21">
        <f t="shared" si="108"/>
        <v>6000</v>
      </c>
      <c r="H1515" s="12">
        <v>1511</v>
      </c>
    </row>
    <row r="1516" spans="1:8" s="5" customFormat="1">
      <c r="A1516" s="15">
        <v>6</v>
      </c>
      <c r="B1516" s="7" t="s">
        <v>82</v>
      </c>
      <c r="C1516" s="8" t="str">
        <f>Gia_VLieu!C9</f>
        <v>cái</v>
      </c>
      <c r="D1516" s="86">
        <f>Gia_VLieu!D9</f>
        <v>8000</v>
      </c>
      <c r="E1516" s="72">
        <v>0.75</v>
      </c>
      <c r="F1516" s="21">
        <f t="shared" si="108"/>
        <v>6000</v>
      </c>
      <c r="H1516" s="12">
        <v>1512</v>
      </c>
    </row>
    <row r="1517" spans="1:8" s="5" customFormat="1">
      <c r="A1517" s="15">
        <v>7</v>
      </c>
      <c r="B1517" s="7" t="s">
        <v>83</v>
      </c>
      <c r="C1517" s="8" t="str">
        <f>Gia_VLieu!C10</f>
        <v>cái</v>
      </c>
      <c r="D1517" s="86">
        <f>Gia_VLieu!D10</f>
        <v>10000</v>
      </c>
      <c r="E1517" s="72">
        <v>0.75</v>
      </c>
      <c r="F1517" s="21">
        <f t="shared" si="108"/>
        <v>7500</v>
      </c>
      <c r="H1517" s="12">
        <v>1513</v>
      </c>
    </row>
    <row r="1518" spans="1:8" s="5" customFormat="1">
      <c r="A1518" s="15">
        <v>8</v>
      </c>
      <c r="B1518" s="7" t="s">
        <v>84</v>
      </c>
      <c r="C1518" s="8" t="str">
        <f>Gia_VLieu!C11</f>
        <v>hộp</v>
      </c>
      <c r="D1518" s="86">
        <f>Gia_VLieu!D11</f>
        <v>2500</v>
      </c>
      <c r="E1518" s="72">
        <v>1.5</v>
      </c>
      <c r="F1518" s="21">
        <f t="shared" si="108"/>
        <v>3750</v>
      </c>
      <c r="H1518" s="12">
        <v>1514</v>
      </c>
    </row>
    <row r="1519" spans="1:8" s="5" customFormat="1">
      <c r="A1519" s="15">
        <v>9</v>
      </c>
      <c r="B1519" s="7" t="s">
        <v>85</v>
      </c>
      <c r="C1519" s="8" t="str">
        <f>Gia_VLieu!C12</f>
        <v>hộp</v>
      </c>
      <c r="D1519" s="86">
        <f>Gia_VLieu!D12</f>
        <v>2000</v>
      </c>
      <c r="E1519" s="72">
        <v>0.75</v>
      </c>
      <c r="F1519" s="21">
        <f t="shared" si="108"/>
        <v>1500</v>
      </c>
      <c r="H1519" s="12">
        <v>1515</v>
      </c>
    </row>
    <row r="1520" spans="1:8" s="5" customFormat="1">
      <c r="A1520" s="15">
        <v>10</v>
      </c>
      <c r="B1520" s="7" t="s">
        <v>86</v>
      </c>
      <c r="C1520" s="8" t="str">
        <f>Gia_VLieu!C13</f>
        <v>tập</v>
      </c>
      <c r="D1520" s="86">
        <f>Gia_VLieu!D13</f>
        <v>8000</v>
      </c>
      <c r="E1520" s="72">
        <v>1.1299999999999999</v>
      </c>
      <c r="F1520" s="21">
        <f t="shared" si="108"/>
        <v>9040</v>
      </c>
      <c r="H1520" s="12">
        <v>1516</v>
      </c>
    </row>
    <row r="1521" spans="1:8" s="5" customFormat="1">
      <c r="A1521" s="57">
        <v>11</v>
      </c>
      <c r="B1521" s="58" t="s">
        <v>87</v>
      </c>
      <c r="C1521" s="59" t="str">
        <f>Gia_VLieu!C14</f>
        <v>cái</v>
      </c>
      <c r="D1521" s="87">
        <f>Gia_VLieu!D14</f>
        <v>15000</v>
      </c>
      <c r="E1521" s="73">
        <v>1.5</v>
      </c>
      <c r="F1521" s="55">
        <f>D1521*E1521</f>
        <v>22500</v>
      </c>
      <c r="H1521" s="12">
        <v>1517</v>
      </c>
    </row>
    <row r="1522" spans="1:8" s="46" customFormat="1">
      <c r="A1522" s="44" t="e">
        <f>#REF!</f>
        <v>#REF!</v>
      </c>
      <c r="B1522" s="45" t="e">
        <f>#REF!</f>
        <v>#REF!</v>
      </c>
      <c r="C1522" s="20"/>
      <c r="D1522" s="151">
        <f>Gia_VLieu!D$16</f>
        <v>1</v>
      </c>
      <c r="E1522" s="63"/>
      <c r="F1522" s="23">
        <f>SUM(F1523:F1533)*D1522</f>
        <v>174500</v>
      </c>
      <c r="H1522" s="12">
        <v>1518</v>
      </c>
    </row>
    <row r="1523" spans="1:8" s="5" customFormat="1">
      <c r="A1523" s="15">
        <v>1</v>
      </c>
      <c r="B1523" s="7" t="s">
        <v>77</v>
      </c>
      <c r="C1523" s="8" t="str">
        <f>Gia_VLieu!C4</f>
        <v>gram</v>
      </c>
      <c r="D1523" s="86">
        <f>Gia_VLieu!D4</f>
        <v>45000</v>
      </c>
      <c r="E1523" s="72">
        <v>0.2</v>
      </c>
      <c r="F1523" s="21">
        <f>D1523*E1523</f>
        <v>9000</v>
      </c>
      <c r="H1523" s="12">
        <v>1519</v>
      </c>
    </row>
    <row r="1524" spans="1:8" s="5" customFormat="1">
      <c r="A1524" s="15">
        <v>2</v>
      </c>
      <c r="B1524" s="7" t="s">
        <v>78</v>
      </c>
      <c r="C1524" s="8" t="str">
        <f>Gia_VLieu!C5</f>
        <v>hộp</v>
      </c>
      <c r="D1524" s="86">
        <f>Gia_VLieu!D5</f>
        <v>1450000</v>
      </c>
      <c r="E1524" s="72">
        <v>0.04</v>
      </c>
      <c r="F1524" s="21">
        <f t="shared" ref="F1524:F1532" si="109">D1524*E1524</f>
        <v>58000</v>
      </c>
      <c r="H1524" s="12">
        <v>1520</v>
      </c>
    </row>
    <row r="1525" spans="1:8" s="5" customFormat="1">
      <c r="A1525" s="15">
        <v>3</v>
      </c>
      <c r="B1525" s="7" t="s">
        <v>79</v>
      </c>
      <c r="C1525" s="8" t="str">
        <f>Gia_VLieu!C6</f>
        <v>hộp</v>
      </c>
      <c r="D1525" s="86">
        <f>Gia_VLieu!D6</f>
        <v>250000</v>
      </c>
      <c r="E1525" s="72">
        <v>0.01</v>
      </c>
      <c r="F1525" s="21">
        <f t="shared" si="109"/>
        <v>2500</v>
      </c>
      <c r="H1525" s="12">
        <v>1521</v>
      </c>
    </row>
    <row r="1526" spans="1:8" s="5" customFormat="1">
      <c r="A1526" s="15">
        <v>4</v>
      </c>
      <c r="B1526" s="7" t="s">
        <v>80</v>
      </c>
      <c r="C1526" s="8" t="str">
        <f>Gia_VLieu!C7</f>
        <v>quyển</v>
      </c>
      <c r="D1526" s="86">
        <f>Gia_VLieu!D7</f>
        <v>10000</v>
      </c>
      <c r="E1526" s="72">
        <v>3</v>
      </c>
      <c r="F1526" s="21">
        <f t="shared" si="109"/>
        <v>30000</v>
      </c>
      <c r="H1526" s="12">
        <v>1522</v>
      </c>
    </row>
    <row r="1527" spans="1:8" s="5" customFormat="1">
      <c r="A1527" s="15">
        <v>5</v>
      </c>
      <c r="B1527" s="7" t="s">
        <v>21</v>
      </c>
      <c r="C1527" s="8" t="str">
        <f>Gia_VLieu!C8</f>
        <v>cái</v>
      </c>
      <c r="D1527" s="86">
        <f>Gia_VLieu!D8</f>
        <v>2000</v>
      </c>
      <c r="E1527" s="72">
        <v>4</v>
      </c>
      <c r="F1527" s="21">
        <f t="shared" si="109"/>
        <v>8000</v>
      </c>
      <c r="H1527" s="12">
        <v>1523</v>
      </c>
    </row>
    <row r="1528" spans="1:8" s="5" customFormat="1">
      <c r="A1528" s="15">
        <v>6</v>
      </c>
      <c r="B1528" s="7" t="s">
        <v>82</v>
      </c>
      <c r="C1528" s="8" t="str">
        <f>Gia_VLieu!C9</f>
        <v>cái</v>
      </c>
      <c r="D1528" s="86">
        <f>Gia_VLieu!D9</f>
        <v>8000</v>
      </c>
      <c r="E1528" s="72">
        <v>1</v>
      </c>
      <c r="F1528" s="21">
        <f t="shared" si="109"/>
        <v>8000</v>
      </c>
      <c r="H1528" s="12">
        <v>1524</v>
      </c>
    </row>
    <row r="1529" spans="1:8" s="5" customFormat="1">
      <c r="A1529" s="15">
        <v>7</v>
      </c>
      <c r="B1529" s="7" t="s">
        <v>83</v>
      </c>
      <c r="C1529" s="8" t="str">
        <f>Gia_VLieu!C10</f>
        <v>cái</v>
      </c>
      <c r="D1529" s="86">
        <f>Gia_VLieu!D10</f>
        <v>10000</v>
      </c>
      <c r="E1529" s="72">
        <v>1</v>
      </c>
      <c r="F1529" s="21">
        <f t="shared" si="109"/>
        <v>10000</v>
      </c>
      <c r="H1529" s="12">
        <v>1525</v>
      </c>
    </row>
    <row r="1530" spans="1:8" s="5" customFormat="1">
      <c r="A1530" s="15">
        <v>8</v>
      </c>
      <c r="B1530" s="7" t="s">
        <v>84</v>
      </c>
      <c r="C1530" s="8" t="str">
        <f>Gia_VLieu!C11</f>
        <v>hộp</v>
      </c>
      <c r="D1530" s="86">
        <f>Gia_VLieu!D11</f>
        <v>2500</v>
      </c>
      <c r="E1530" s="72">
        <v>2</v>
      </c>
      <c r="F1530" s="21">
        <f t="shared" si="109"/>
        <v>5000</v>
      </c>
      <c r="H1530" s="12">
        <v>1526</v>
      </c>
    </row>
    <row r="1531" spans="1:8" s="5" customFormat="1">
      <c r="A1531" s="15">
        <v>9</v>
      </c>
      <c r="B1531" s="7" t="s">
        <v>85</v>
      </c>
      <c r="C1531" s="8" t="str">
        <f>Gia_VLieu!C12</f>
        <v>hộp</v>
      </c>
      <c r="D1531" s="86">
        <f>Gia_VLieu!D12</f>
        <v>2000</v>
      </c>
      <c r="E1531" s="72">
        <v>1</v>
      </c>
      <c r="F1531" s="21">
        <f t="shared" si="109"/>
        <v>2000</v>
      </c>
      <c r="H1531" s="12">
        <v>1527</v>
      </c>
    </row>
    <row r="1532" spans="1:8" s="5" customFormat="1">
      <c r="A1532" s="15">
        <v>10</v>
      </c>
      <c r="B1532" s="7" t="s">
        <v>86</v>
      </c>
      <c r="C1532" s="8" t="str">
        <f>Gia_VLieu!C13</f>
        <v>tập</v>
      </c>
      <c r="D1532" s="86">
        <f>Gia_VLieu!D13</f>
        <v>8000</v>
      </c>
      <c r="E1532" s="72">
        <v>1.5</v>
      </c>
      <c r="F1532" s="21">
        <f t="shared" si="109"/>
        <v>12000</v>
      </c>
      <c r="H1532" s="12">
        <v>1528</v>
      </c>
    </row>
    <row r="1533" spans="1:8" s="5" customFormat="1">
      <c r="A1533" s="57">
        <v>11</v>
      </c>
      <c r="B1533" s="58" t="s">
        <v>87</v>
      </c>
      <c r="C1533" s="59" t="str">
        <f>Gia_VLieu!C14</f>
        <v>cái</v>
      </c>
      <c r="D1533" s="87">
        <f>Gia_VLieu!D14</f>
        <v>15000</v>
      </c>
      <c r="E1533" s="73">
        <v>2</v>
      </c>
      <c r="F1533" s="55">
        <f>D1533*E1533</f>
        <v>30000</v>
      </c>
      <c r="H1533" s="12">
        <v>1529</v>
      </c>
    </row>
    <row r="1534" spans="1:8" s="46" customFormat="1">
      <c r="A1534" s="44" t="e">
        <f>#REF!</f>
        <v>#REF!</v>
      </c>
      <c r="B1534" s="45" t="e">
        <f>#REF!</f>
        <v>#REF!</v>
      </c>
      <c r="C1534" s="20"/>
      <c r="D1534" s="151">
        <f>Gia_VLieu!D$16</f>
        <v>1</v>
      </c>
      <c r="E1534" s="63"/>
      <c r="F1534" s="23">
        <f>SUM(F1535:F1545)*D1534</f>
        <v>174500</v>
      </c>
      <c r="H1534" s="12">
        <v>1530</v>
      </c>
    </row>
    <row r="1535" spans="1:8" s="5" customFormat="1">
      <c r="A1535" s="15">
        <v>1</v>
      </c>
      <c r="B1535" s="7" t="s">
        <v>77</v>
      </c>
      <c r="C1535" s="8" t="str">
        <f>Gia_VLieu!C4</f>
        <v>gram</v>
      </c>
      <c r="D1535" s="86">
        <f>Gia_VLieu!D4</f>
        <v>45000</v>
      </c>
      <c r="E1535" s="72">
        <v>0.2</v>
      </c>
      <c r="F1535" s="21">
        <f>D1535*E1535</f>
        <v>9000</v>
      </c>
      <c r="H1535" s="12">
        <v>1531</v>
      </c>
    </row>
    <row r="1536" spans="1:8" s="5" customFormat="1">
      <c r="A1536" s="15">
        <v>2</v>
      </c>
      <c r="B1536" s="7" t="s">
        <v>78</v>
      </c>
      <c r="C1536" s="8" t="str">
        <f>Gia_VLieu!C5</f>
        <v>hộp</v>
      </c>
      <c r="D1536" s="86">
        <f>Gia_VLieu!D5</f>
        <v>1450000</v>
      </c>
      <c r="E1536" s="72">
        <v>0.04</v>
      </c>
      <c r="F1536" s="21">
        <f t="shared" ref="F1536:F1544" si="110">D1536*E1536</f>
        <v>58000</v>
      </c>
      <c r="H1536" s="12">
        <v>1532</v>
      </c>
    </row>
    <row r="1537" spans="1:8" s="5" customFormat="1">
      <c r="A1537" s="15">
        <v>3</v>
      </c>
      <c r="B1537" s="7" t="s">
        <v>79</v>
      </c>
      <c r="C1537" s="8" t="str">
        <f>Gia_VLieu!C6</f>
        <v>hộp</v>
      </c>
      <c r="D1537" s="86">
        <f>Gia_VLieu!D6</f>
        <v>250000</v>
      </c>
      <c r="E1537" s="72">
        <v>0.01</v>
      </c>
      <c r="F1537" s="21">
        <f t="shared" si="110"/>
        <v>2500</v>
      </c>
      <c r="H1537" s="12">
        <v>1533</v>
      </c>
    </row>
    <row r="1538" spans="1:8" s="5" customFormat="1">
      <c r="A1538" s="15">
        <v>4</v>
      </c>
      <c r="B1538" s="7" t="s">
        <v>80</v>
      </c>
      <c r="C1538" s="8" t="str">
        <f>Gia_VLieu!C7</f>
        <v>quyển</v>
      </c>
      <c r="D1538" s="86">
        <f>Gia_VLieu!D7</f>
        <v>10000</v>
      </c>
      <c r="E1538" s="72">
        <v>3</v>
      </c>
      <c r="F1538" s="21">
        <f t="shared" si="110"/>
        <v>30000</v>
      </c>
      <c r="H1538" s="12">
        <v>1534</v>
      </c>
    </row>
    <row r="1539" spans="1:8" s="5" customFormat="1">
      <c r="A1539" s="15">
        <v>5</v>
      </c>
      <c r="B1539" s="7" t="s">
        <v>21</v>
      </c>
      <c r="C1539" s="8" t="str">
        <f>Gia_VLieu!C8</f>
        <v>cái</v>
      </c>
      <c r="D1539" s="86">
        <f>Gia_VLieu!D8</f>
        <v>2000</v>
      </c>
      <c r="E1539" s="72">
        <v>4</v>
      </c>
      <c r="F1539" s="21">
        <f t="shared" si="110"/>
        <v>8000</v>
      </c>
      <c r="H1539" s="12">
        <v>1535</v>
      </c>
    </row>
    <row r="1540" spans="1:8" s="5" customFormat="1">
      <c r="A1540" s="15">
        <v>6</v>
      </c>
      <c r="B1540" s="7" t="s">
        <v>82</v>
      </c>
      <c r="C1540" s="8" t="str">
        <f>Gia_VLieu!C9</f>
        <v>cái</v>
      </c>
      <c r="D1540" s="86">
        <f>Gia_VLieu!D9</f>
        <v>8000</v>
      </c>
      <c r="E1540" s="72">
        <v>1</v>
      </c>
      <c r="F1540" s="21">
        <f t="shared" si="110"/>
        <v>8000</v>
      </c>
      <c r="H1540" s="12">
        <v>1536</v>
      </c>
    </row>
    <row r="1541" spans="1:8" s="5" customFormat="1">
      <c r="A1541" s="15">
        <v>7</v>
      </c>
      <c r="B1541" s="7" t="s">
        <v>83</v>
      </c>
      <c r="C1541" s="8" t="str">
        <f>Gia_VLieu!C10</f>
        <v>cái</v>
      </c>
      <c r="D1541" s="86">
        <f>Gia_VLieu!D10</f>
        <v>10000</v>
      </c>
      <c r="E1541" s="72">
        <v>1</v>
      </c>
      <c r="F1541" s="21">
        <f t="shared" si="110"/>
        <v>10000</v>
      </c>
      <c r="H1541" s="12">
        <v>1537</v>
      </c>
    </row>
    <row r="1542" spans="1:8" s="5" customFormat="1">
      <c r="A1542" s="15">
        <v>8</v>
      </c>
      <c r="B1542" s="7" t="s">
        <v>84</v>
      </c>
      <c r="C1542" s="8" t="str">
        <f>Gia_VLieu!C11</f>
        <v>hộp</v>
      </c>
      <c r="D1542" s="86">
        <f>Gia_VLieu!D11</f>
        <v>2500</v>
      </c>
      <c r="E1542" s="72">
        <v>2</v>
      </c>
      <c r="F1542" s="21">
        <f t="shared" si="110"/>
        <v>5000</v>
      </c>
      <c r="H1542" s="12">
        <v>1538</v>
      </c>
    </row>
    <row r="1543" spans="1:8" s="5" customFormat="1">
      <c r="A1543" s="15">
        <v>9</v>
      </c>
      <c r="B1543" s="7" t="s">
        <v>85</v>
      </c>
      <c r="C1543" s="8" t="str">
        <f>Gia_VLieu!C12</f>
        <v>hộp</v>
      </c>
      <c r="D1543" s="86">
        <f>Gia_VLieu!D12</f>
        <v>2000</v>
      </c>
      <c r="E1543" s="72">
        <v>1</v>
      </c>
      <c r="F1543" s="21">
        <f t="shared" si="110"/>
        <v>2000</v>
      </c>
      <c r="H1543" s="12">
        <v>1539</v>
      </c>
    </row>
    <row r="1544" spans="1:8" s="5" customFormat="1">
      <c r="A1544" s="15">
        <v>10</v>
      </c>
      <c r="B1544" s="7" t="s">
        <v>86</v>
      </c>
      <c r="C1544" s="8" t="str">
        <f>Gia_VLieu!C13</f>
        <v>tập</v>
      </c>
      <c r="D1544" s="86">
        <f>Gia_VLieu!D13</f>
        <v>8000</v>
      </c>
      <c r="E1544" s="72">
        <v>1.5</v>
      </c>
      <c r="F1544" s="21">
        <f t="shared" si="110"/>
        <v>12000</v>
      </c>
      <c r="H1544" s="12">
        <v>1540</v>
      </c>
    </row>
    <row r="1545" spans="1:8" s="5" customFormat="1">
      <c r="A1545" s="57">
        <v>11</v>
      </c>
      <c r="B1545" s="58" t="s">
        <v>87</v>
      </c>
      <c r="C1545" s="59" t="str">
        <f>Gia_VLieu!C14</f>
        <v>cái</v>
      </c>
      <c r="D1545" s="87">
        <f>Gia_VLieu!D14</f>
        <v>15000</v>
      </c>
      <c r="E1545" s="73">
        <v>2</v>
      </c>
      <c r="F1545" s="55">
        <f>D1545*E1545</f>
        <v>30000</v>
      </c>
      <c r="H1545" s="12">
        <v>1541</v>
      </c>
    </row>
    <row r="1546" spans="1:8" s="46" customFormat="1">
      <c r="A1546" s="44" t="e">
        <f>#REF!</f>
        <v>#REF!</v>
      </c>
      <c r="B1546" s="45" t="e">
        <f>#REF!</f>
        <v>#REF!</v>
      </c>
      <c r="C1546" s="20"/>
      <c r="D1546" s="151">
        <f>Gia_VLieu!D$16</f>
        <v>1</v>
      </c>
      <c r="E1546" s="63"/>
      <c r="F1546" s="23">
        <f>SUM(F1547:F1557)*D1546</f>
        <v>88500</v>
      </c>
      <c r="H1546" s="12">
        <v>1542</v>
      </c>
    </row>
    <row r="1547" spans="1:8" s="5" customFormat="1">
      <c r="A1547" s="15">
        <v>1</v>
      </c>
      <c r="B1547" s="7" t="s">
        <v>77</v>
      </c>
      <c r="C1547" s="8" t="str">
        <f>Gia_VLieu!C4</f>
        <v>gram</v>
      </c>
      <c r="D1547" s="86">
        <f>Gia_VLieu!D4</f>
        <v>45000</v>
      </c>
      <c r="E1547" s="72">
        <v>0.1</v>
      </c>
      <c r="F1547" s="21">
        <f>D1547*E1547</f>
        <v>4500</v>
      </c>
      <c r="H1547" s="12">
        <v>1543</v>
      </c>
    </row>
    <row r="1548" spans="1:8" s="5" customFormat="1">
      <c r="A1548" s="15">
        <v>2</v>
      </c>
      <c r="B1548" s="7" t="s">
        <v>78</v>
      </c>
      <c r="C1548" s="8" t="str">
        <f>Gia_VLieu!C5</f>
        <v>hộp</v>
      </c>
      <c r="D1548" s="86">
        <f>Gia_VLieu!D5</f>
        <v>1450000</v>
      </c>
      <c r="E1548" s="72">
        <v>0.02</v>
      </c>
      <c r="F1548" s="21">
        <f t="shared" ref="F1548:F1556" si="111">D1548*E1548</f>
        <v>29000</v>
      </c>
      <c r="H1548" s="12">
        <v>1544</v>
      </c>
    </row>
    <row r="1549" spans="1:8" s="5" customFormat="1">
      <c r="A1549" s="15">
        <v>3</v>
      </c>
      <c r="B1549" s="7" t="s">
        <v>79</v>
      </c>
      <c r="C1549" s="8" t="str">
        <f>Gia_VLieu!C6</f>
        <v>hộp</v>
      </c>
      <c r="D1549" s="86">
        <f>Gia_VLieu!D6</f>
        <v>250000</v>
      </c>
      <c r="E1549" s="72">
        <v>0.01</v>
      </c>
      <c r="F1549" s="21">
        <f t="shared" si="111"/>
        <v>2500</v>
      </c>
      <c r="H1549" s="12">
        <v>1545</v>
      </c>
    </row>
    <row r="1550" spans="1:8" s="5" customFormat="1">
      <c r="A1550" s="15">
        <v>4</v>
      </c>
      <c r="B1550" s="7" t="s">
        <v>80</v>
      </c>
      <c r="C1550" s="8" t="str">
        <f>Gia_VLieu!C7</f>
        <v>quyển</v>
      </c>
      <c r="D1550" s="86">
        <f>Gia_VLieu!D7</f>
        <v>10000</v>
      </c>
      <c r="E1550" s="72">
        <v>1.5</v>
      </c>
      <c r="F1550" s="21">
        <f t="shared" si="111"/>
        <v>15000</v>
      </c>
      <c r="H1550" s="12">
        <v>1546</v>
      </c>
    </row>
    <row r="1551" spans="1:8" s="5" customFormat="1">
      <c r="A1551" s="15">
        <v>5</v>
      </c>
      <c r="B1551" s="7" t="s">
        <v>21</v>
      </c>
      <c r="C1551" s="8" t="str">
        <f>Gia_VLieu!C8</f>
        <v>cái</v>
      </c>
      <c r="D1551" s="86">
        <f>Gia_VLieu!D8</f>
        <v>2000</v>
      </c>
      <c r="E1551" s="72">
        <v>2</v>
      </c>
      <c r="F1551" s="21">
        <f t="shared" si="111"/>
        <v>4000</v>
      </c>
      <c r="H1551" s="12">
        <v>1547</v>
      </c>
    </row>
    <row r="1552" spans="1:8" s="5" customFormat="1">
      <c r="A1552" s="15">
        <v>6</v>
      </c>
      <c r="B1552" s="7" t="s">
        <v>82</v>
      </c>
      <c r="C1552" s="8" t="str">
        <f>Gia_VLieu!C9</f>
        <v>cái</v>
      </c>
      <c r="D1552" s="86">
        <f>Gia_VLieu!D9</f>
        <v>8000</v>
      </c>
      <c r="E1552" s="72">
        <v>0.5</v>
      </c>
      <c r="F1552" s="21">
        <f t="shared" si="111"/>
        <v>4000</v>
      </c>
      <c r="H1552" s="12">
        <v>1548</v>
      </c>
    </row>
    <row r="1553" spans="1:8" s="5" customFormat="1">
      <c r="A1553" s="15">
        <v>7</v>
      </c>
      <c r="B1553" s="7" t="s">
        <v>83</v>
      </c>
      <c r="C1553" s="8" t="str">
        <f>Gia_VLieu!C10</f>
        <v>cái</v>
      </c>
      <c r="D1553" s="86">
        <f>Gia_VLieu!D10</f>
        <v>10000</v>
      </c>
      <c r="E1553" s="72">
        <v>0.5</v>
      </c>
      <c r="F1553" s="21">
        <f t="shared" si="111"/>
        <v>5000</v>
      </c>
      <c r="H1553" s="12">
        <v>1549</v>
      </c>
    </row>
    <row r="1554" spans="1:8" s="5" customFormat="1">
      <c r="A1554" s="15">
        <v>8</v>
      </c>
      <c r="B1554" s="7" t="s">
        <v>84</v>
      </c>
      <c r="C1554" s="8" t="str">
        <f>Gia_VLieu!C11</f>
        <v>hộp</v>
      </c>
      <c r="D1554" s="86">
        <f>Gia_VLieu!D11</f>
        <v>2500</v>
      </c>
      <c r="E1554" s="72">
        <v>1</v>
      </c>
      <c r="F1554" s="21">
        <f t="shared" si="111"/>
        <v>2500</v>
      </c>
      <c r="H1554" s="12">
        <v>1550</v>
      </c>
    </row>
    <row r="1555" spans="1:8" s="5" customFormat="1">
      <c r="A1555" s="15">
        <v>9</v>
      </c>
      <c r="B1555" s="7" t="s">
        <v>85</v>
      </c>
      <c r="C1555" s="8" t="str">
        <f>Gia_VLieu!C12</f>
        <v>hộp</v>
      </c>
      <c r="D1555" s="86">
        <f>Gia_VLieu!D12</f>
        <v>2000</v>
      </c>
      <c r="E1555" s="72">
        <v>0.5</v>
      </c>
      <c r="F1555" s="21">
        <f t="shared" si="111"/>
        <v>1000</v>
      </c>
      <c r="H1555" s="12">
        <v>1551</v>
      </c>
    </row>
    <row r="1556" spans="1:8" s="5" customFormat="1">
      <c r="A1556" s="15">
        <v>10</v>
      </c>
      <c r="B1556" s="7" t="s">
        <v>86</v>
      </c>
      <c r="C1556" s="8" t="str">
        <f>Gia_VLieu!C13</f>
        <v>tập</v>
      </c>
      <c r="D1556" s="86">
        <f>Gia_VLieu!D13</f>
        <v>8000</v>
      </c>
      <c r="E1556" s="72">
        <v>0.75</v>
      </c>
      <c r="F1556" s="21">
        <f t="shared" si="111"/>
        <v>6000</v>
      </c>
      <c r="H1556" s="12">
        <v>1552</v>
      </c>
    </row>
    <row r="1557" spans="1:8" s="5" customFormat="1">
      <c r="A1557" s="57">
        <v>11</v>
      </c>
      <c r="B1557" s="58" t="s">
        <v>87</v>
      </c>
      <c r="C1557" s="59" t="str">
        <f>Gia_VLieu!C14</f>
        <v>cái</v>
      </c>
      <c r="D1557" s="87">
        <f>Gia_VLieu!D14</f>
        <v>15000</v>
      </c>
      <c r="E1557" s="73">
        <v>1</v>
      </c>
      <c r="F1557" s="55">
        <f>D1557*E1557</f>
        <v>15000</v>
      </c>
      <c r="H1557" s="12">
        <v>1553</v>
      </c>
    </row>
    <row r="1558" spans="1:8" s="46" customFormat="1">
      <c r="A1558" s="44" t="e">
        <f>#REF!</f>
        <v>#REF!</v>
      </c>
      <c r="B1558" s="45" t="e">
        <f>#REF!</f>
        <v>#REF!</v>
      </c>
      <c r="C1558" s="20"/>
      <c r="D1558" s="151">
        <f>Gia_VLieu!D$16</f>
        <v>1</v>
      </c>
      <c r="E1558" s="63"/>
      <c r="F1558" s="23">
        <f>SUM(F1559:F1569)*D1558</f>
        <v>88500</v>
      </c>
      <c r="H1558" s="12">
        <v>1554</v>
      </c>
    </row>
    <row r="1559" spans="1:8" s="5" customFormat="1">
      <c r="A1559" s="15">
        <v>1</v>
      </c>
      <c r="B1559" s="7" t="s">
        <v>77</v>
      </c>
      <c r="C1559" s="8" t="str">
        <f>Gia_VLieu!C4</f>
        <v>gram</v>
      </c>
      <c r="D1559" s="86">
        <f>Gia_VLieu!D4</f>
        <v>45000</v>
      </c>
      <c r="E1559" s="72">
        <v>0.1</v>
      </c>
      <c r="F1559" s="21">
        <f>D1559*E1559</f>
        <v>4500</v>
      </c>
      <c r="H1559" s="12">
        <v>1555</v>
      </c>
    </row>
    <row r="1560" spans="1:8" s="5" customFormat="1">
      <c r="A1560" s="15">
        <v>2</v>
      </c>
      <c r="B1560" s="7" t="s">
        <v>78</v>
      </c>
      <c r="C1560" s="8" t="str">
        <f>Gia_VLieu!C5</f>
        <v>hộp</v>
      </c>
      <c r="D1560" s="86">
        <f>Gia_VLieu!D5</f>
        <v>1450000</v>
      </c>
      <c r="E1560" s="72">
        <v>0.02</v>
      </c>
      <c r="F1560" s="21">
        <f t="shared" ref="F1560:F1568" si="112">D1560*E1560</f>
        <v>29000</v>
      </c>
      <c r="H1560" s="12">
        <v>1556</v>
      </c>
    </row>
    <row r="1561" spans="1:8" s="5" customFormat="1">
      <c r="A1561" s="15">
        <v>3</v>
      </c>
      <c r="B1561" s="7" t="s">
        <v>79</v>
      </c>
      <c r="C1561" s="8" t="str">
        <f>Gia_VLieu!C6</f>
        <v>hộp</v>
      </c>
      <c r="D1561" s="86">
        <f>Gia_VLieu!D6</f>
        <v>250000</v>
      </c>
      <c r="E1561" s="72">
        <v>0.01</v>
      </c>
      <c r="F1561" s="21">
        <f t="shared" si="112"/>
        <v>2500</v>
      </c>
      <c r="H1561" s="12">
        <v>1557</v>
      </c>
    </row>
    <row r="1562" spans="1:8" s="5" customFormat="1">
      <c r="A1562" s="15">
        <v>4</v>
      </c>
      <c r="B1562" s="7" t="s">
        <v>80</v>
      </c>
      <c r="C1562" s="8" t="str">
        <f>Gia_VLieu!C7</f>
        <v>quyển</v>
      </c>
      <c r="D1562" s="86">
        <f>Gia_VLieu!D7</f>
        <v>10000</v>
      </c>
      <c r="E1562" s="72">
        <v>1.5</v>
      </c>
      <c r="F1562" s="21">
        <f t="shared" si="112"/>
        <v>15000</v>
      </c>
      <c r="H1562" s="12">
        <v>1558</v>
      </c>
    </row>
    <row r="1563" spans="1:8" s="5" customFormat="1">
      <c r="A1563" s="15">
        <v>5</v>
      </c>
      <c r="B1563" s="7" t="s">
        <v>21</v>
      </c>
      <c r="C1563" s="8" t="str">
        <f>Gia_VLieu!C8</f>
        <v>cái</v>
      </c>
      <c r="D1563" s="86">
        <f>Gia_VLieu!D8</f>
        <v>2000</v>
      </c>
      <c r="E1563" s="72">
        <v>2</v>
      </c>
      <c r="F1563" s="21">
        <f t="shared" si="112"/>
        <v>4000</v>
      </c>
      <c r="H1563" s="12">
        <v>1559</v>
      </c>
    </row>
    <row r="1564" spans="1:8" s="5" customFormat="1">
      <c r="A1564" s="15">
        <v>6</v>
      </c>
      <c r="B1564" s="7" t="s">
        <v>82</v>
      </c>
      <c r="C1564" s="8" t="str">
        <f>Gia_VLieu!C9</f>
        <v>cái</v>
      </c>
      <c r="D1564" s="86">
        <f>Gia_VLieu!D9</f>
        <v>8000</v>
      </c>
      <c r="E1564" s="72">
        <v>0.5</v>
      </c>
      <c r="F1564" s="21">
        <f t="shared" si="112"/>
        <v>4000</v>
      </c>
      <c r="H1564" s="12">
        <v>1560</v>
      </c>
    </row>
    <row r="1565" spans="1:8" s="5" customFormat="1">
      <c r="A1565" s="15">
        <v>7</v>
      </c>
      <c r="B1565" s="7" t="s">
        <v>83</v>
      </c>
      <c r="C1565" s="8" t="str">
        <f>Gia_VLieu!C10</f>
        <v>cái</v>
      </c>
      <c r="D1565" s="86">
        <f>Gia_VLieu!D10</f>
        <v>10000</v>
      </c>
      <c r="E1565" s="72">
        <v>0.5</v>
      </c>
      <c r="F1565" s="21">
        <f t="shared" si="112"/>
        <v>5000</v>
      </c>
      <c r="H1565" s="12">
        <v>1561</v>
      </c>
    </row>
    <row r="1566" spans="1:8" s="5" customFormat="1">
      <c r="A1566" s="15">
        <v>8</v>
      </c>
      <c r="B1566" s="7" t="s">
        <v>84</v>
      </c>
      <c r="C1566" s="8" t="str">
        <f>Gia_VLieu!C11</f>
        <v>hộp</v>
      </c>
      <c r="D1566" s="86">
        <f>Gia_VLieu!D11</f>
        <v>2500</v>
      </c>
      <c r="E1566" s="72">
        <v>1</v>
      </c>
      <c r="F1566" s="21">
        <f t="shared" si="112"/>
        <v>2500</v>
      </c>
      <c r="H1566" s="12">
        <v>1562</v>
      </c>
    </row>
    <row r="1567" spans="1:8" s="5" customFormat="1">
      <c r="A1567" s="15">
        <v>9</v>
      </c>
      <c r="B1567" s="7" t="s">
        <v>85</v>
      </c>
      <c r="C1567" s="8" t="str">
        <f>Gia_VLieu!C12</f>
        <v>hộp</v>
      </c>
      <c r="D1567" s="86">
        <f>Gia_VLieu!D12</f>
        <v>2000</v>
      </c>
      <c r="E1567" s="72">
        <v>0.5</v>
      </c>
      <c r="F1567" s="21">
        <f t="shared" si="112"/>
        <v>1000</v>
      </c>
      <c r="H1567" s="12">
        <v>1563</v>
      </c>
    </row>
    <row r="1568" spans="1:8" s="5" customFormat="1">
      <c r="A1568" s="15">
        <v>10</v>
      </c>
      <c r="B1568" s="7" t="s">
        <v>86</v>
      </c>
      <c r="C1568" s="8" t="str">
        <f>Gia_VLieu!C13</f>
        <v>tập</v>
      </c>
      <c r="D1568" s="86">
        <f>Gia_VLieu!D13</f>
        <v>8000</v>
      </c>
      <c r="E1568" s="72">
        <v>0.75</v>
      </c>
      <c r="F1568" s="21">
        <f t="shared" si="112"/>
        <v>6000</v>
      </c>
      <c r="H1568" s="12">
        <v>1564</v>
      </c>
    </row>
    <row r="1569" spans="1:8" s="5" customFormat="1">
      <c r="A1569" s="57">
        <v>11</v>
      </c>
      <c r="B1569" s="58" t="s">
        <v>87</v>
      </c>
      <c r="C1569" s="59" t="str">
        <f>Gia_VLieu!C14</f>
        <v>cái</v>
      </c>
      <c r="D1569" s="87">
        <f>Gia_VLieu!D14</f>
        <v>15000</v>
      </c>
      <c r="E1569" s="73">
        <v>1</v>
      </c>
      <c r="F1569" s="55">
        <f>D1569*E1569</f>
        <v>15000</v>
      </c>
      <c r="H1569" s="12">
        <v>1565</v>
      </c>
    </row>
    <row r="1570" spans="1:8" s="46" customFormat="1">
      <c r="A1570" s="44" t="e">
        <f>#REF!</f>
        <v>#REF!</v>
      </c>
      <c r="B1570" s="45" t="e">
        <f>#REF!</f>
        <v>#REF!</v>
      </c>
      <c r="C1570" s="20"/>
      <c r="D1570" s="151">
        <f>Gia_VLieu!D$16</f>
        <v>1</v>
      </c>
      <c r="E1570" s="63"/>
      <c r="F1570" s="23">
        <f>SUM(F1571:F1581)*D1570</f>
        <v>88500</v>
      </c>
      <c r="H1570" s="12">
        <v>1566</v>
      </c>
    </row>
    <row r="1571" spans="1:8" s="5" customFormat="1">
      <c r="A1571" s="15">
        <v>1</v>
      </c>
      <c r="B1571" s="7" t="s">
        <v>77</v>
      </c>
      <c r="C1571" s="8" t="str">
        <f>Gia_VLieu!C4</f>
        <v>gram</v>
      </c>
      <c r="D1571" s="86">
        <f>Gia_VLieu!D4</f>
        <v>45000</v>
      </c>
      <c r="E1571" s="72">
        <v>0.1</v>
      </c>
      <c r="F1571" s="21">
        <f>D1571*E1571</f>
        <v>4500</v>
      </c>
      <c r="H1571" s="12">
        <v>1567</v>
      </c>
    </row>
    <row r="1572" spans="1:8" s="5" customFormat="1">
      <c r="A1572" s="15">
        <v>2</v>
      </c>
      <c r="B1572" s="7" t="s">
        <v>78</v>
      </c>
      <c r="C1572" s="8" t="str">
        <f>Gia_VLieu!C5</f>
        <v>hộp</v>
      </c>
      <c r="D1572" s="86">
        <f>Gia_VLieu!D5</f>
        <v>1450000</v>
      </c>
      <c r="E1572" s="72">
        <v>0.02</v>
      </c>
      <c r="F1572" s="21">
        <f t="shared" ref="F1572:F1580" si="113">D1572*E1572</f>
        <v>29000</v>
      </c>
      <c r="H1572" s="12">
        <v>1568</v>
      </c>
    </row>
    <row r="1573" spans="1:8" s="5" customFormat="1">
      <c r="A1573" s="15">
        <v>3</v>
      </c>
      <c r="B1573" s="7" t="s">
        <v>79</v>
      </c>
      <c r="C1573" s="8" t="str">
        <f>Gia_VLieu!C6</f>
        <v>hộp</v>
      </c>
      <c r="D1573" s="86">
        <f>Gia_VLieu!D6</f>
        <v>250000</v>
      </c>
      <c r="E1573" s="72">
        <v>0.01</v>
      </c>
      <c r="F1573" s="21">
        <f t="shared" si="113"/>
        <v>2500</v>
      </c>
      <c r="H1573" s="12">
        <v>1569</v>
      </c>
    </row>
    <row r="1574" spans="1:8" s="5" customFormat="1">
      <c r="A1574" s="15">
        <v>4</v>
      </c>
      <c r="B1574" s="7" t="s">
        <v>80</v>
      </c>
      <c r="C1574" s="8" t="str">
        <f>Gia_VLieu!C7</f>
        <v>quyển</v>
      </c>
      <c r="D1574" s="86">
        <f>Gia_VLieu!D7</f>
        <v>10000</v>
      </c>
      <c r="E1574" s="72">
        <v>1.5</v>
      </c>
      <c r="F1574" s="21">
        <f t="shared" si="113"/>
        <v>15000</v>
      </c>
      <c r="H1574" s="12">
        <v>1570</v>
      </c>
    </row>
    <row r="1575" spans="1:8" s="5" customFormat="1">
      <c r="A1575" s="15">
        <v>5</v>
      </c>
      <c r="B1575" s="7" t="s">
        <v>21</v>
      </c>
      <c r="C1575" s="8" t="str">
        <f>Gia_VLieu!C8</f>
        <v>cái</v>
      </c>
      <c r="D1575" s="86">
        <f>Gia_VLieu!D8</f>
        <v>2000</v>
      </c>
      <c r="E1575" s="72">
        <v>2</v>
      </c>
      <c r="F1575" s="21">
        <f t="shared" si="113"/>
        <v>4000</v>
      </c>
      <c r="H1575" s="12">
        <v>1571</v>
      </c>
    </row>
    <row r="1576" spans="1:8" s="5" customFormat="1">
      <c r="A1576" s="15">
        <v>6</v>
      </c>
      <c r="B1576" s="7" t="s">
        <v>82</v>
      </c>
      <c r="C1576" s="8" t="str">
        <f>Gia_VLieu!C9</f>
        <v>cái</v>
      </c>
      <c r="D1576" s="86">
        <f>Gia_VLieu!D9</f>
        <v>8000</v>
      </c>
      <c r="E1576" s="72">
        <v>0.5</v>
      </c>
      <c r="F1576" s="21">
        <f t="shared" si="113"/>
        <v>4000</v>
      </c>
      <c r="H1576" s="12">
        <v>1572</v>
      </c>
    </row>
    <row r="1577" spans="1:8" s="5" customFormat="1">
      <c r="A1577" s="15">
        <v>7</v>
      </c>
      <c r="B1577" s="7" t="s">
        <v>83</v>
      </c>
      <c r="C1577" s="8" t="str">
        <f>Gia_VLieu!C10</f>
        <v>cái</v>
      </c>
      <c r="D1577" s="86">
        <f>Gia_VLieu!D10</f>
        <v>10000</v>
      </c>
      <c r="E1577" s="72">
        <v>0.5</v>
      </c>
      <c r="F1577" s="21">
        <f t="shared" si="113"/>
        <v>5000</v>
      </c>
      <c r="H1577" s="12">
        <v>1573</v>
      </c>
    </row>
    <row r="1578" spans="1:8" s="5" customFormat="1">
      <c r="A1578" s="15">
        <v>8</v>
      </c>
      <c r="B1578" s="7" t="s">
        <v>84</v>
      </c>
      <c r="C1578" s="8" t="str">
        <f>Gia_VLieu!C11</f>
        <v>hộp</v>
      </c>
      <c r="D1578" s="86">
        <f>Gia_VLieu!D11</f>
        <v>2500</v>
      </c>
      <c r="E1578" s="72">
        <v>1</v>
      </c>
      <c r="F1578" s="21">
        <f t="shared" si="113"/>
        <v>2500</v>
      </c>
      <c r="H1578" s="12">
        <v>1574</v>
      </c>
    </row>
    <row r="1579" spans="1:8" s="5" customFormat="1">
      <c r="A1579" s="15">
        <v>9</v>
      </c>
      <c r="B1579" s="7" t="s">
        <v>85</v>
      </c>
      <c r="C1579" s="8" t="str">
        <f>Gia_VLieu!C12</f>
        <v>hộp</v>
      </c>
      <c r="D1579" s="86">
        <f>Gia_VLieu!D12</f>
        <v>2000</v>
      </c>
      <c r="E1579" s="72">
        <v>0.5</v>
      </c>
      <c r="F1579" s="21">
        <f t="shared" si="113"/>
        <v>1000</v>
      </c>
      <c r="H1579" s="12">
        <v>1575</v>
      </c>
    </row>
    <row r="1580" spans="1:8" s="5" customFormat="1">
      <c r="A1580" s="15">
        <v>10</v>
      </c>
      <c r="B1580" s="7" t="s">
        <v>86</v>
      </c>
      <c r="C1580" s="8" t="str">
        <f>Gia_VLieu!C13</f>
        <v>tập</v>
      </c>
      <c r="D1580" s="86">
        <f>Gia_VLieu!D13</f>
        <v>8000</v>
      </c>
      <c r="E1580" s="72">
        <v>0.75</v>
      </c>
      <c r="F1580" s="21">
        <f t="shared" si="113"/>
        <v>6000</v>
      </c>
      <c r="H1580" s="12">
        <v>1576</v>
      </c>
    </row>
    <row r="1581" spans="1:8" s="5" customFormat="1">
      <c r="A1581" s="57">
        <v>11</v>
      </c>
      <c r="B1581" s="58" t="s">
        <v>87</v>
      </c>
      <c r="C1581" s="59" t="str">
        <f>Gia_VLieu!C14</f>
        <v>cái</v>
      </c>
      <c r="D1581" s="87">
        <f>Gia_VLieu!D14</f>
        <v>15000</v>
      </c>
      <c r="E1581" s="73">
        <v>1</v>
      </c>
      <c r="F1581" s="55">
        <f>D1581*E1581</f>
        <v>15000</v>
      </c>
      <c r="H1581" s="12">
        <v>1577</v>
      </c>
    </row>
    <row r="1582" spans="1:8" s="46" customFormat="1">
      <c r="A1582" s="44" t="e">
        <f>#REF!</f>
        <v>#REF!</v>
      </c>
      <c r="B1582" s="45" t="e">
        <f>#REF!</f>
        <v>#REF!</v>
      </c>
      <c r="C1582" s="20"/>
      <c r="D1582" s="151">
        <f>Gia_VLieu!D$16</f>
        <v>1</v>
      </c>
      <c r="E1582" s="63"/>
      <c r="F1582" s="23">
        <f>SUM(F1583:F1593)*D1582</f>
        <v>88500</v>
      </c>
      <c r="H1582" s="12">
        <v>1578</v>
      </c>
    </row>
    <row r="1583" spans="1:8" s="5" customFormat="1">
      <c r="A1583" s="15">
        <v>1</v>
      </c>
      <c r="B1583" s="7" t="s">
        <v>77</v>
      </c>
      <c r="C1583" s="8" t="str">
        <f>Gia_VLieu!C4</f>
        <v>gram</v>
      </c>
      <c r="D1583" s="86">
        <f>Gia_VLieu!D4</f>
        <v>45000</v>
      </c>
      <c r="E1583" s="72">
        <v>0.1</v>
      </c>
      <c r="F1583" s="21">
        <f>D1583*E1583</f>
        <v>4500</v>
      </c>
      <c r="H1583" s="12">
        <v>1579</v>
      </c>
    </row>
    <row r="1584" spans="1:8" s="5" customFormat="1">
      <c r="A1584" s="15">
        <v>2</v>
      </c>
      <c r="B1584" s="7" t="s">
        <v>78</v>
      </c>
      <c r="C1584" s="8" t="str">
        <f>Gia_VLieu!C5</f>
        <v>hộp</v>
      </c>
      <c r="D1584" s="86">
        <f>Gia_VLieu!D5</f>
        <v>1450000</v>
      </c>
      <c r="E1584" s="72">
        <v>0.02</v>
      </c>
      <c r="F1584" s="21">
        <f t="shared" ref="F1584:F1592" si="114">D1584*E1584</f>
        <v>29000</v>
      </c>
      <c r="H1584" s="12">
        <v>1580</v>
      </c>
    </row>
    <row r="1585" spans="1:8" s="5" customFormat="1">
      <c r="A1585" s="15">
        <v>3</v>
      </c>
      <c r="B1585" s="7" t="s">
        <v>79</v>
      </c>
      <c r="C1585" s="8" t="str">
        <f>Gia_VLieu!C6</f>
        <v>hộp</v>
      </c>
      <c r="D1585" s="86">
        <f>Gia_VLieu!D6</f>
        <v>250000</v>
      </c>
      <c r="E1585" s="72">
        <v>0.01</v>
      </c>
      <c r="F1585" s="21">
        <f t="shared" si="114"/>
        <v>2500</v>
      </c>
      <c r="H1585" s="12">
        <v>1581</v>
      </c>
    </row>
    <row r="1586" spans="1:8" s="5" customFormat="1">
      <c r="A1586" s="15">
        <v>4</v>
      </c>
      <c r="B1586" s="7" t="s">
        <v>80</v>
      </c>
      <c r="C1586" s="8" t="str">
        <f>Gia_VLieu!C7</f>
        <v>quyển</v>
      </c>
      <c r="D1586" s="86">
        <f>Gia_VLieu!D7</f>
        <v>10000</v>
      </c>
      <c r="E1586" s="72">
        <v>1.5</v>
      </c>
      <c r="F1586" s="21">
        <f t="shared" si="114"/>
        <v>15000</v>
      </c>
      <c r="H1586" s="12">
        <v>1582</v>
      </c>
    </row>
    <row r="1587" spans="1:8" s="5" customFormat="1">
      <c r="A1587" s="15">
        <v>5</v>
      </c>
      <c r="B1587" s="7" t="s">
        <v>21</v>
      </c>
      <c r="C1587" s="8" t="str">
        <f>Gia_VLieu!C8</f>
        <v>cái</v>
      </c>
      <c r="D1587" s="86">
        <f>Gia_VLieu!D8</f>
        <v>2000</v>
      </c>
      <c r="E1587" s="72">
        <v>2</v>
      </c>
      <c r="F1587" s="21">
        <f t="shared" si="114"/>
        <v>4000</v>
      </c>
      <c r="H1587" s="12">
        <v>1583</v>
      </c>
    </row>
    <row r="1588" spans="1:8" s="5" customFormat="1">
      <c r="A1588" s="15">
        <v>6</v>
      </c>
      <c r="B1588" s="7" t="s">
        <v>82</v>
      </c>
      <c r="C1588" s="8" t="str">
        <f>Gia_VLieu!C9</f>
        <v>cái</v>
      </c>
      <c r="D1588" s="86">
        <f>Gia_VLieu!D9</f>
        <v>8000</v>
      </c>
      <c r="E1588" s="72">
        <v>0.5</v>
      </c>
      <c r="F1588" s="21">
        <f t="shared" si="114"/>
        <v>4000</v>
      </c>
      <c r="H1588" s="12">
        <v>1584</v>
      </c>
    </row>
    <row r="1589" spans="1:8" s="5" customFormat="1">
      <c r="A1589" s="15">
        <v>7</v>
      </c>
      <c r="B1589" s="7" t="s">
        <v>83</v>
      </c>
      <c r="C1589" s="8" t="str">
        <f>Gia_VLieu!C10</f>
        <v>cái</v>
      </c>
      <c r="D1589" s="86">
        <f>Gia_VLieu!D10</f>
        <v>10000</v>
      </c>
      <c r="E1589" s="72">
        <v>0.5</v>
      </c>
      <c r="F1589" s="21">
        <f t="shared" si="114"/>
        <v>5000</v>
      </c>
      <c r="H1589" s="12">
        <v>1585</v>
      </c>
    </row>
    <row r="1590" spans="1:8" s="5" customFormat="1">
      <c r="A1590" s="15">
        <v>8</v>
      </c>
      <c r="B1590" s="7" t="s">
        <v>84</v>
      </c>
      <c r="C1590" s="8" t="str">
        <f>Gia_VLieu!C11</f>
        <v>hộp</v>
      </c>
      <c r="D1590" s="86">
        <f>Gia_VLieu!D11</f>
        <v>2500</v>
      </c>
      <c r="E1590" s="72">
        <v>1</v>
      </c>
      <c r="F1590" s="21">
        <f t="shared" si="114"/>
        <v>2500</v>
      </c>
      <c r="H1590" s="12">
        <v>1586</v>
      </c>
    </row>
    <row r="1591" spans="1:8" s="5" customFormat="1">
      <c r="A1591" s="15">
        <v>9</v>
      </c>
      <c r="B1591" s="7" t="s">
        <v>85</v>
      </c>
      <c r="C1591" s="8" t="str">
        <f>Gia_VLieu!C12</f>
        <v>hộp</v>
      </c>
      <c r="D1591" s="86">
        <f>Gia_VLieu!D12</f>
        <v>2000</v>
      </c>
      <c r="E1591" s="72">
        <v>0.5</v>
      </c>
      <c r="F1591" s="21">
        <f t="shared" si="114"/>
        <v>1000</v>
      </c>
      <c r="H1591" s="12">
        <v>1587</v>
      </c>
    </row>
    <row r="1592" spans="1:8" s="5" customFormat="1">
      <c r="A1592" s="15">
        <v>10</v>
      </c>
      <c r="B1592" s="7" t="s">
        <v>86</v>
      </c>
      <c r="C1592" s="8" t="str">
        <f>Gia_VLieu!C13</f>
        <v>tập</v>
      </c>
      <c r="D1592" s="86">
        <f>Gia_VLieu!D13</f>
        <v>8000</v>
      </c>
      <c r="E1592" s="72">
        <v>0.75</v>
      </c>
      <c r="F1592" s="21">
        <f t="shared" si="114"/>
        <v>6000</v>
      </c>
      <c r="H1592" s="12">
        <v>1588</v>
      </c>
    </row>
    <row r="1593" spans="1:8" s="5" customFormat="1">
      <c r="A1593" s="57">
        <v>11</v>
      </c>
      <c r="B1593" s="58" t="s">
        <v>87</v>
      </c>
      <c r="C1593" s="59" t="str">
        <f>Gia_VLieu!C14</f>
        <v>cái</v>
      </c>
      <c r="D1593" s="87">
        <f>Gia_VLieu!D14</f>
        <v>15000</v>
      </c>
      <c r="E1593" s="73">
        <v>1</v>
      </c>
      <c r="F1593" s="55">
        <f>D1593*E1593</f>
        <v>15000</v>
      </c>
      <c r="H1593" s="12">
        <v>1589</v>
      </c>
    </row>
    <row r="1594" spans="1:8" s="46" customFormat="1">
      <c r="A1594" s="44" t="e">
        <f>#REF!</f>
        <v>#REF!</v>
      </c>
      <c r="B1594" s="45" t="e">
        <f>#REF!</f>
        <v>#REF!</v>
      </c>
      <c r="C1594" s="20"/>
      <c r="D1594" s="90"/>
      <c r="E1594" s="63"/>
      <c r="F1594" s="23"/>
      <c r="H1594" s="12">
        <v>1590</v>
      </c>
    </row>
    <row r="1595" spans="1:8" s="46" customFormat="1">
      <c r="A1595" s="44" t="e">
        <f>#REF!</f>
        <v>#REF!</v>
      </c>
      <c r="B1595" s="45" t="e">
        <f>#REF!</f>
        <v>#REF!</v>
      </c>
      <c r="C1595" s="20"/>
      <c r="D1595" s="151">
        <f>Gia_VLieu!D$16</f>
        <v>1</v>
      </c>
      <c r="E1595" s="63"/>
      <c r="F1595" s="23">
        <f>SUM(F1596:F1606)*D1595</f>
        <v>88500</v>
      </c>
      <c r="H1595" s="12">
        <v>1591</v>
      </c>
    </row>
    <row r="1596" spans="1:8" s="5" customFormat="1">
      <c r="A1596" s="15">
        <v>1</v>
      </c>
      <c r="B1596" s="7" t="s">
        <v>77</v>
      </c>
      <c r="C1596" s="8" t="str">
        <f>Gia_VLieu!C4</f>
        <v>gram</v>
      </c>
      <c r="D1596" s="86">
        <f>Gia_VLieu!D4</f>
        <v>45000</v>
      </c>
      <c r="E1596" s="72">
        <v>0.1</v>
      </c>
      <c r="F1596" s="21">
        <f>D1596*E1596</f>
        <v>4500</v>
      </c>
      <c r="H1596" s="12">
        <v>1592</v>
      </c>
    </row>
    <row r="1597" spans="1:8" s="5" customFormat="1">
      <c r="A1597" s="15">
        <v>2</v>
      </c>
      <c r="B1597" s="7" t="s">
        <v>78</v>
      </c>
      <c r="C1597" s="8" t="str">
        <f>Gia_VLieu!C5</f>
        <v>hộp</v>
      </c>
      <c r="D1597" s="86">
        <f>Gia_VLieu!D5</f>
        <v>1450000</v>
      </c>
      <c r="E1597" s="72">
        <v>0.02</v>
      </c>
      <c r="F1597" s="21">
        <f t="shared" ref="F1597:F1605" si="115">D1597*E1597</f>
        <v>29000</v>
      </c>
      <c r="H1597" s="12">
        <v>1593</v>
      </c>
    </row>
    <row r="1598" spans="1:8" s="5" customFormat="1">
      <c r="A1598" s="15">
        <v>3</v>
      </c>
      <c r="B1598" s="7" t="s">
        <v>79</v>
      </c>
      <c r="C1598" s="8" t="str">
        <f>Gia_VLieu!C6</f>
        <v>hộp</v>
      </c>
      <c r="D1598" s="86">
        <f>Gia_VLieu!D6</f>
        <v>250000</v>
      </c>
      <c r="E1598" s="72">
        <v>0.01</v>
      </c>
      <c r="F1598" s="21">
        <f t="shared" si="115"/>
        <v>2500</v>
      </c>
      <c r="H1598" s="12">
        <v>1594</v>
      </c>
    </row>
    <row r="1599" spans="1:8" s="5" customFormat="1">
      <c r="A1599" s="15">
        <v>4</v>
      </c>
      <c r="B1599" s="7" t="s">
        <v>80</v>
      </c>
      <c r="C1599" s="8" t="str">
        <f>Gia_VLieu!C7</f>
        <v>quyển</v>
      </c>
      <c r="D1599" s="86">
        <f>Gia_VLieu!D7</f>
        <v>10000</v>
      </c>
      <c r="E1599" s="72">
        <v>1.5</v>
      </c>
      <c r="F1599" s="21">
        <f t="shared" si="115"/>
        <v>15000</v>
      </c>
      <c r="H1599" s="12">
        <v>1595</v>
      </c>
    </row>
    <row r="1600" spans="1:8" s="5" customFormat="1">
      <c r="A1600" s="15">
        <v>5</v>
      </c>
      <c r="B1600" s="7" t="s">
        <v>21</v>
      </c>
      <c r="C1600" s="8" t="str">
        <f>Gia_VLieu!C8</f>
        <v>cái</v>
      </c>
      <c r="D1600" s="86">
        <f>Gia_VLieu!D8</f>
        <v>2000</v>
      </c>
      <c r="E1600" s="72">
        <v>2</v>
      </c>
      <c r="F1600" s="21">
        <f t="shared" si="115"/>
        <v>4000</v>
      </c>
      <c r="H1600" s="12">
        <v>1596</v>
      </c>
    </row>
    <row r="1601" spans="1:8" s="5" customFormat="1">
      <c r="A1601" s="15">
        <v>6</v>
      </c>
      <c r="B1601" s="7" t="s">
        <v>82</v>
      </c>
      <c r="C1601" s="8" t="str">
        <f>Gia_VLieu!C9</f>
        <v>cái</v>
      </c>
      <c r="D1601" s="86">
        <f>Gia_VLieu!D9</f>
        <v>8000</v>
      </c>
      <c r="E1601" s="72">
        <v>0.5</v>
      </c>
      <c r="F1601" s="21">
        <f t="shared" si="115"/>
        <v>4000</v>
      </c>
      <c r="H1601" s="12">
        <v>1597</v>
      </c>
    </row>
    <row r="1602" spans="1:8" s="5" customFormat="1">
      <c r="A1602" s="15">
        <v>7</v>
      </c>
      <c r="B1602" s="7" t="s">
        <v>83</v>
      </c>
      <c r="C1602" s="8" t="str">
        <f>Gia_VLieu!C10</f>
        <v>cái</v>
      </c>
      <c r="D1602" s="86">
        <f>Gia_VLieu!D10</f>
        <v>10000</v>
      </c>
      <c r="E1602" s="72">
        <v>0.5</v>
      </c>
      <c r="F1602" s="21">
        <f t="shared" si="115"/>
        <v>5000</v>
      </c>
      <c r="H1602" s="12">
        <v>1598</v>
      </c>
    </row>
    <row r="1603" spans="1:8" s="5" customFormat="1">
      <c r="A1603" s="15">
        <v>8</v>
      </c>
      <c r="B1603" s="7" t="s">
        <v>84</v>
      </c>
      <c r="C1603" s="8" t="str">
        <f>Gia_VLieu!C11</f>
        <v>hộp</v>
      </c>
      <c r="D1603" s="86">
        <f>Gia_VLieu!D11</f>
        <v>2500</v>
      </c>
      <c r="E1603" s="72">
        <v>1</v>
      </c>
      <c r="F1603" s="21">
        <f t="shared" si="115"/>
        <v>2500</v>
      </c>
      <c r="H1603" s="12">
        <v>1599</v>
      </c>
    </row>
    <row r="1604" spans="1:8" s="5" customFormat="1">
      <c r="A1604" s="15">
        <v>9</v>
      </c>
      <c r="B1604" s="7" t="s">
        <v>85</v>
      </c>
      <c r="C1604" s="8" t="str">
        <f>Gia_VLieu!C12</f>
        <v>hộp</v>
      </c>
      <c r="D1604" s="86">
        <f>Gia_VLieu!D12</f>
        <v>2000</v>
      </c>
      <c r="E1604" s="72">
        <v>0.5</v>
      </c>
      <c r="F1604" s="21">
        <f t="shared" si="115"/>
        <v>1000</v>
      </c>
      <c r="H1604" s="12">
        <v>1600</v>
      </c>
    </row>
    <row r="1605" spans="1:8" s="5" customFormat="1">
      <c r="A1605" s="15">
        <v>10</v>
      </c>
      <c r="B1605" s="7" t="s">
        <v>86</v>
      </c>
      <c r="C1605" s="8" t="str">
        <f>Gia_VLieu!C13</f>
        <v>tập</v>
      </c>
      <c r="D1605" s="86">
        <f>Gia_VLieu!D13</f>
        <v>8000</v>
      </c>
      <c r="E1605" s="72">
        <v>0.75</v>
      </c>
      <c r="F1605" s="21">
        <f t="shared" si="115"/>
        <v>6000</v>
      </c>
      <c r="H1605" s="12">
        <v>1601</v>
      </c>
    </row>
    <row r="1606" spans="1:8" s="5" customFormat="1">
      <c r="A1606" s="57">
        <v>11</v>
      </c>
      <c r="B1606" s="58" t="s">
        <v>87</v>
      </c>
      <c r="C1606" s="59" t="str">
        <f>Gia_VLieu!C14</f>
        <v>cái</v>
      </c>
      <c r="D1606" s="87">
        <f>Gia_VLieu!D14</f>
        <v>15000</v>
      </c>
      <c r="E1606" s="73">
        <v>1</v>
      </c>
      <c r="F1606" s="55">
        <f>D1606*E1606</f>
        <v>15000</v>
      </c>
      <c r="H1606" s="12">
        <v>1602</v>
      </c>
    </row>
    <row r="1607" spans="1:8" s="46" customFormat="1">
      <c r="A1607" s="44" t="e">
        <f>#REF!</f>
        <v>#REF!</v>
      </c>
      <c r="B1607" s="45" t="e">
        <f>#REF!</f>
        <v>#REF!</v>
      </c>
      <c r="C1607" s="20"/>
      <c r="D1607" s="151">
        <f>Gia_VLieu!D$16</f>
        <v>1</v>
      </c>
      <c r="E1607" s="63"/>
      <c r="F1607" s="23">
        <f>SUM(F1608:F1618)*D1607</f>
        <v>88500</v>
      </c>
      <c r="H1607" s="12">
        <v>1603</v>
      </c>
    </row>
    <row r="1608" spans="1:8" s="5" customFormat="1">
      <c r="A1608" s="15">
        <v>1</v>
      </c>
      <c r="B1608" s="7" t="s">
        <v>77</v>
      </c>
      <c r="C1608" s="8" t="str">
        <f>Gia_VLieu!C4</f>
        <v>gram</v>
      </c>
      <c r="D1608" s="86">
        <f>Gia_VLieu!D4</f>
        <v>45000</v>
      </c>
      <c r="E1608" s="72">
        <v>0.1</v>
      </c>
      <c r="F1608" s="21">
        <f>D1608*E1608</f>
        <v>4500</v>
      </c>
      <c r="H1608" s="12">
        <v>1604</v>
      </c>
    </row>
    <row r="1609" spans="1:8" s="5" customFormat="1">
      <c r="A1609" s="15">
        <v>2</v>
      </c>
      <c r="B1609" s="7" t="s">
        <v>78</v>
      </c>
      <c r="C1609" s="8" t="str">
        <f>Gia_VLieu!C5</f>
        <v>hộp</v>
      </c>
      <c r="D1609" s="86">
        <f>Gia_VLieu!D5</f>
        <v>1450000</v>
      </c>
      <c r="E1609" s="72">
        <v>0.02</v>
      </c>
      <c r="F1609" s="21">
        <f t="shared" ref="F1609:F1617" si="116">D1609*E1609</f>
        <v>29000</v>
      </c>
      <c r="H1609" s="12">
        <v>1605</v>
      </c>
    </row>
    <row r="1610" spans="1:8" s="5" customFormat="1">
      <c r="A1610" s="15">
        <v>3</v>
      </c>
      <c r="B1610" s="7" t="s">
        <v>79</v>
      </c>
      <c r="C1610" s="8" t="str">
        <f>Gia_VLieu!C6</f>
        <v>hộp</v>
      </c>
      <c r="D1610" s="86">
        <f>Gia_VLieu!D6</f>
        <v>250000</v>
      </c>
      <c r="E1610" s="72">
        <v>0.01</v>
      </c>
      <c r="F1610" s="21">
        <f t="shared" si="116"/>
        <v>2500</v>
      </c>
      <c r="H1610" s="12">
        <v>1606</v>
      </c>
    </row>
    <row r="1611" spans="1:8" s="5" customFormat="1">
      <c r="A1611" s="15">
        <v>4</v>
      </c>
      <c r="B1611" s="7" t="s">
        <v>80</v>
      </c>
      <c r="C1611" s="8" t="str">
        <f>Gia_VLieu!C7</f>
        <v>quyển</v>
      </c>
      <c r="D1611" s="86">
        <f>Gia_VLieu!D7</f>
        <v>10000</v>
      </c>
      <c r="E1611" s="72">
        <v>1.5</v>
      </c>
      <c r="F1611" s="21">
        <f t="shared" si="116"/>
        <v>15000</v>
      </c>
      <c r="H1611" s="12">
        <v>1607</v>
      </c>
    </row>
    <row r="1612" spans="1:8" s="5" customFormat="1">
      <c r="A1612" s="15">
        <v>5</v>
      </c>
      <c r="B1612" s="7" t="s">
        <v>21</v>
      </c>
      <c r="C1612" s="8" t="str">
        <f>Gia_VLieu!C8</f>
        <v>cái</v>
      </c>
      <c r="D1612" s="86">
        <f>Gia_VLieu!D8</f>
        <v>2000</v>
      </c>
      <c r="E1612" s="72">
        <v>2</v>
      </c>
      <c r="F1612" s="21">
        <f t="shared" si="116"/>
        <v>4000</v>
      </c>
      <c r="H1612" s="12">
        <v>1608</v>
      </c>
    </row>
    <row r="1613" spans="1:8" s="5" customFormat="1">
      <c r="A1613" s="15">
        <v>6</v>
      </c>
      <c r="B1613" s="7" t="s">
        <v>82</v>
      </c>
      <c r="C1613" s="8" t="str">
        <f>Gia_VLieu!C9</f>
        <v>cái</v>
      </c>
      <c r="D1613" s="86">
        <f>Gia_VLieu!D9</f>
        <v>8000</v>
      </c>
      <c r="E1613" s="72">
        <v>0.5</v>
      </c>
      <c r="F1613" s="21">
        <f t="shared" si="116"/>
        <v>4000</v>
      </c>
      <c r="H1613" s="12">
        <v>1609</v>
      </c>
    </row>
    <row r="1614" spans="1:8" s="5" customFormat="1">
      <c r="A1614" s="15">
        <v>7</v>
      </c>
      <c r="B1614" s="7" t="s">
        <v>83</v>
      </c>
      <c r="C1614" s="8" t="str">
        <f>Gia_VLieu!C10</f>
        <v>cái</v>
      </c>
      <c r="D1614" s="86">
        <f>Gia_VLieu!D10</f>
        <v>10000</v>
      </c>
      <c r="E1614" s="72">
        <v>0.5</v>
      </c>
      <c r="F1614" s="21">
        <f t="shared" si="116"/>
        <v>5000</v>
      </c>
      <c r="H1614" s="12">
        <v>1610</v>
      </c>
    </row>
    <row r="1615" spans="1:8" s="5" customFormat="1">
      <c r="A1615" s="15">
        <v>8</v>
      </c>
      <c r="B1615" s="7" t="s">
        <v>84</v>
      </c>
      <c r="C1615" s="8" t="str">
        <f>Gia_VLieu!C11</f>
        <v>hộp</v>
      </c>
      <c r="D1615" s="86">
        <f>Gia_VLieu!D11</f>
        <v>2500</v>
      </c>
      <c r="E1615" s="72">
        <v>1</v>
      </c>
      <c r="F1615" s="21">
        <f t="shared" si="116"/>
        <v>2500</v>
      </c>
      <c r="H1615" s="12">
        <v>1611</v>
      </c>
    </row>
    <row r="1616" spans="1:8" s="5" customFormat="1">
      <c r="A1616" s="15">
        <v>9</v>
      </c>
      <c r="B1616" s="7" t="s">
        <v>85</v>
      </c>
      <c r="C1616" s="8" t="str">
        <f>Gia_VLieu!C12</f>
        <v>hộp</v>
      </c>
      <c r="D1616" s="86">
        <f>Gia_VLieu!D12</f>
        <v>2000</v>
      </c>
      <c r="E1616" s="72">
        <v>0.5</v>
      </c>
      <c r="F1616" s="21">
        <f t="shared" si="116"/>
        <v>1000</v>
      </c>
      <c r="H1616" s="12">
        <v>1612</v>
      </c>
    </row>
    <row r="1617" spans="1:8" s="5" customFormat="1">
      <c r="A1617" s="15">
        <v>10</v>
      </c>
      <c r="B1617" s="7" t="s">
        <v>86</v>
      </c>
      <c r="C1617" s="8" t="str">
        <f>Gia_VLieu!C13</f>
        <v>tập</v>
      </c>
      <c r="D1617" s="86">
        <f>Gia_VLieu!D13</f>
        <v>8000</v>
      </c>
      <c r="E1617" s="72">
        <v>0.75</v>
      </c>
      <c r="F1617" s="21">
        <f t="shared" si="116"/>
        <v>6000</v>
      </c>
      <c r="H1617" s="12">
        <v>1613</v>
      </c>
    </row>
    <row r="1618" spans="1:8" s="5" customFormat="1">
      <c r="A1618" s="57">
        <v>11</v>
      </c>
      <c r="B1618" s="58" t="s">
        <v>87</v>
      </c>
      <c r="C1618" s="59" t="str">
        <f>Gia_VLieu!C14</f>
        <v>cái</v>
      </c>
      <c r="D1618" s="87">
        <f>Gia_VLieu!D14</f>
        <v>15000</v>
      </c>
      <c r="E1618" s="73">
        <v>1</v>
      </c>
      <c r="F1618" s="55">
        <f>D1618*E1618</f>
        <v>15000</v>
      </c>
      <c r="H1618" s="12">
        <v>1614</v>
      </c>
    </row>
    <row r="1619" spans="1:8" s="46" customFormat="1">
      <c r="A1619" s="44" t="e">
        <f>#REF!</f>
        <v>#REF!</v>
      </c>
      <c r="B1619" s="45" t="e">
        <f>#REF!</f>
        <v>#REF!</v>
      </c>
      <c r="C1619" s="20"/>
      <c r="D1619" s="151">
        <f>Gia_VLieu!D$16</f>
        <v>1</v>
      </c>
      <c r="E1619" s="63"/>
      <c r="F1619" s="23">
        <f>SUM(F1620:F1630)*D1619</f>
        <v>88500</v>
      </c>
      <c r="H1619" s="12">
        <v>1615</v>
      </c>
    </row>
    <row r="1620" spans="1:8" s="5" customFormat="1">
      <c r="A1620" s="15">
        <v>1</v>
      </c>
      <c r="B1620" s="7" t="s">
        <v>77</v>
      </c>
      <c r="C1620" s="8" t="str">
        <f>Gia_VLieu!C4</f>
        <v>gram</v>
      </c>
      <c r="D1620" s="86">
        <f>Gia_VLieu!D4</f>
        <v>45000</v>
      </c>
      <c r="E1620" s="72">
        <v>0.1</v>
      </c>
      <c r="F1620" s="21">
        <f>D1620*E1620</f>
        <v>4500</v>
      </c>
      <c r="H1620" s="12">
        <v>1616</v>
      </c>
    </row>
    <row r="1621" spans="1:8" s="5" customFormat="1">
      <c r="A1621" s="15">
        <v>2</v>
      </c>
      <c r="B1621" s="7" t="s">
        <v>78</v>
      </c>
      <c r="C1621" s="8" t="str">
        <f>Gia_VLieu!C5</f>
        <v>hộp</v>
      </c>
      <c r="D1621" s="86">
        <f>Gia_VLieu!D5</f>
        <v>1450000</v>
      </c>
      <c r="E1621" s="72">
        <v>0.02</v>
      </c>
      <c r="F1621" s="21">
        <f t="shared" ref="F1621:F1629" si="117">D1621*E1621</f>
        <v>29000</v>
      </c>
      <c r="H1621" s="12">
        <v>1617</v>
      </c>
    </row>
    <row r="1622" spans="1:8" s="5" customFormat="1">
      <c r="A1622" s="15">
        <v>3</v>
      </c>
      <c r="B1622" s="7" t="s">
        <v>79</v>
      </c>
      <c r="C1622" s="8" t="str">
        <f>Gia_VLieu!C6</f>
        <v>hộp</v>
      </c>
      <c r="D1622" s="86">
        <f>Gia_VLieu!D6</f>
        <v>250000</v>
      </c>
      <c r="E1622" s="72">
        <v>0.01</v>
      </c>
      <c r="F1622" s="21">
        <f t="shared" si="117"/>
        <v>2500</v>
      </c>
      <c r="H1622" s="12">
        <v>1618</v>
      </c>
    </row>
    <row r="1623" spans="1:8" s="5" customFormat="1">
      <c r="A1623" s="15">
        <v>4</v>
      </c>
      <c r="B1623" s="7" t="s">
        <v>80</v>
      </c>
      <c r="C1623" s="8" t="str">
        <f>Gia_VLieu!C7</f>
        <v>quyển</v>
      </c>
      <c r="D1623" s="86">
        <f>Gia_VLieu!D7</f>
        <v>10000</v>
      </c>
      <c r="E1623" s="72">
        <v>1.5</v>
      </c>
      <c r="F1623" s="21">
        <f t="shared" si="117"/>
        <v>15000</v>
      </c>
      <c r="H1623" s="12">
        <v>1619</v>
      </c>
    </row>
    <row r="1624" spans="1:8" s="5" customFormat="1">
      <c r="A1624" s="15">
        <v>5</v>
      </c>
      <c r="B1624" s="7" t="s">
        <v>21</v>
      </c>
      <c r="C1624" s="8" t="str">
        <f>Gia_VLieu!C8</f>
        <v>cái</v>
      </c>
      <c r="D1624" s="86">
        <f>Gia_VLieu!D8</f>
        <v>2000</v>
      </c>
      <c r="E1624" s="72">
        <v>2</v>
      </c>
      <c r="F1624" s="21">
        <f t="shared" si="117"/>
        <v>4000</v>
      </c>
      <c r="H1624" s="12">
        <v>1620</v>
      </c>
    </row>
    <row r="1625" spans="1:8" s="5" customFormat="1">
      <c r="A1625" s="15">
        <v>6</v>
      </c>
      <c r="B1625" s="7" t="s">
        <v>82</v>
      </c>
      <c r="C1625" s="8" t="str">
        <f>Gia_VLieu!C9</f>
        <v>cái</v>
      </c>
      <c r="D1625" s="86">
        <f>Gia_VLieu!D9</f>
        <v>8000</v>
      </c>
      <c r="E1625" s="72">
        <v>0.5</v>
      </c>
      <c r="F1625" s="21">
        <f t="shared" si="117"/>
        <v>4000</v>
      </c>
      <c r="H1625" s="12">
        <v>1621</v>
      </c>
    </row>
    <row r="1626" spans="1:8" s="5" customFormat="1">
      <c r="A1626" s="15">
        <v>7</v>
      </c>
      <c r="B1626" s="7" t="s">
        <v>83</v>
      </c>
      <c r="C1626" s="8" t="str">
        <f>Gia_VLieu!C10</f>
        <v>cái</v>
      </c>
      <c r="D1626" s="86">
        <f>Gia_VLieu!D10</f>
        <v>10000</v>
      </c>
      <c r="E1626" s="72">
        <v>0.5</v>
      </c>
      <c r="F1626" s="21">
        <f t="shared" si="117"/>
        <v>5000</v>
      </c>
      <c r="H1626" s="12">
        <v>1622</v>
      </c>
    </row>
    <row r="1627" spans="1:8" s="5" customFormat="1">
      <c r="A1627" s="15">
        <v>8</v>
      </c>
      <c r="B1627" s="7" t="s">
        <v>84</v>
      </c>
      <c r="C1627" s="8" t="str">
        <f>Gia_VLieu!C11</f>
        <v>hộp</v>
      </c>
      <c r="D1627" s="86">
        <f>Gia_VLieu!D11</f>
        <v>2500</v>
      </c>
      <c r="E1627" s="72">
        <v>1</v>
      </c>
      <c r="F1627" s="21">
        <f t="shared" si="117"/>
        <v>2500</v>
      </c>
      <c r="H1627" s="12">
        <v>1623</v>
      </c>
    </row>
    <row r="1628" spans="1:8" s="5" customFormat="1">
      <c r="A1628" s="15">
        <v>9</v>
      </c>
      <c r="B1628" s="7" t="s">
        <v>85</v>
      </c>
      <c r="C1628" s="8" t="str">
        <f>Gia_VLieu!C12</f>
        <v>hộp</v>
      </c>
      <c r="D1628" s="86">
        <f>Gia_VLieu!D12</f>
        <v>2000</v>
      </c>
      <c r="E1628" s="72">
        <v>0.5</v>
      </c>
      <c r="F1628" s="21">
        <f t="shared" si="117"/>
        <v>1000</v>
      </c>
      <c r="H1628" s="12">
        <v>1624</v>
      </c>
    </row>
    <row r="1629" spans="1:8" s="5" customFormat="1">
      <c r="A1629" s="15">
        <v>10</v>
      </c>
      <c r="B1629" s="7" t="s">
        <v>86</v>
      </c>
      <c r="C1629" s="8" t="str">
        <f>Gia_VLieu!C13</f>
        <v>tập</v>
      </c>
      <c r="D1629" s="86">
        <f>Gia_VLieu!D13</f>
        <v>8000</v>
      </c>
      <c r="E1629" s="72">
        <v>0.75</v>
      </c>
      <c r="F1629" s="21">
        <f t="shared" si="117"/>
        <v>6000</v>
      </c>
      <c r="H1629" s="12">
        <v>1625</v>
      </c>
    </row>
    <row r="1630" spans="1:8" s="5" customFormat="1">
      <c r="A1630" s="57">
        <v>11</v>
      </c>
      <c r="B1630" s="58" t="s">
        <v>87</v>
      </c>
      <c r="C1630" s="59" t="str">
        <f>Gia_VLieu!C14</f>
        <v>cái</v>
      </c>
      <c r="D1630" s="87">
        <f>Gia_VLieu!D14</f>
        <v>15000</v>
      </c>
      <c r="E1630" s="73">
        <v>1</v>
      </c>
      <c r="F1630" s="55">
        <f>D1630*E1630</f>
        <v>15000</v>
      </c>
      <c r="H1630" s="12">
        <v>1626</v>
      </c>
    </row>
    <row r="1631" spans="1:8" s="46" customFormat="1">
      <c r="A1631" s="44" t="e">
        <f>#REF!</f>
        <v>#REF!</v>
      </c>
      <c r="B1631" s="45" t="e">
        <f>#REF!</f>
        <v>#REF!</v>
      </c>
      <c r="C1631" s="20"/>
      <c r="D1631" s="151">
        <f>Gia_VLieu!D$16</f>
        <v>1</v>
      </c>
      <c r="E1631" s="63"/>
      <c r="F1631" s="23">
        <f>SUM(F1632:F1642)*D1631</f>
        <v>88500</v>
      </c>
      <c r="H1631" s="12">
        <v>1627</v>
      </c>
    </row>
    <row r="1632" spans="1:8" s="5" customFormat="1">
      <c r="A1632" s="15">
        <v>1</v>
      </c>
      <c r="B1632" s="7" t="s">
        <v>77</v>
      </c>
      <c r="C1632" s="8" t="str">
        <f>Gia_VLieu!C4</f>
        <v>gram</v>
      </c>
      <c r="D1632" s="86">
        <f>Gia_VLieu!D4</f>
        <v>45000</v>
      </c>
      <c r="E1632" s="72">
        <v>0.1</v>
      </c>
      <c r="F1632" s="21">
        <f>D1632*E1632</f>
        <v>4500</v>
      </c>
      <c r="H1632" s="12">
        <v>1628</v>
      </c>
    </row>
    <row r="1633" spans="1:8" s="5" customFormat="1">
      <c r="A1633" s="15">
        <v>2</v>
      </c>
      <c r="B1633" s="7" t="s">
        <v>78</v>
      </c>
      <c r="C1633" s="8" t="str">
        <f>Gia_VLieu!C5</f>
        <v>hộp</v>
      </c>
      <c r="D1633" s="86">
        <f>Gia_VLieu!D5</f>
        <v>1450000</v>
      </c>
      <c r="E1633" s="72">
        <v>0.02</v>
      </c>
      <c r="F1633" s="21">
        <f t="shared" ref="F1633:F1641" si="118">D1633*E1633</f>
        <v>29000</v>
      </c>
      <c r="H1633" s="12">
        <v>1629</v>
      </c>
    </row>
    <row r="1634" spans="1:8" s="5" customFormat="1">
      <c r="A1634" s="15">
        <v>3</v>
      </c>
      <c r="B1634" s="7" t="s">
        <v>79</v>
      </c>
      <c r="C1634" s="8" t="str">
        <f>Gia_VLieu!C6</f>
        <v>hộp</v>
      </c>
      <c r="D1634" s="86">
        <f>Gia_VLieu!D6</f>
        <v>250000</v>
      </c>
      <c r="E1634" s="72">
        <v>0.01</v>
      </c>
      <c r="F1634" s="21">
        <f t="shared" si="118"/>
        <v>2500</v>
      </c>
      <c r="H1634" s="12">
        <v>1630</v>
      </c>
    </row>
    <row r="1635" spans="1:8" s="5" customFormat="1">
      <c r="A1635" s="15">
        <v>4</v>
      </c>
      <c r="B1635" s="7" t="s">
        <v>80</v>
      </c>
      <c r="C1635" s="8" t="str">
        <f>Gia_VLieu!C7</f>
        <v>quyển</v>
      </c>
      <c r="D1635" s="86">
        <f>Gia_VLieu!D7</f>
        <v>10000</v>
      </c>
      <c r="E1635" s="72">
        <v>1.5</v>
      </c>
      <c r="F1635" s="21">
        <f t="shared" si="118"/>
        <v>15000</v>
      </c>
      <c r="H1635" s="12">
        <v>1631</v>
      </c>
    </row>
    <row r="1636" spans="1:8" s="5" customFormat="1">
      <c r="A1636" s="15">
        <v>5</v>
      </c>
      <c r="B1636" s="7" t="s">
        <v>21</v>
      </c>
      <c r="C1636" s="8" t="str">
        <f>Gia_VLieu!C8</f>
        <v>cái</v>
      </c>
      <c r="D1636" s="86">
        <f>Gia_VLieu!D8</f>
        <v>2000</v>
      </c>
      <c r="E1636" s="72">
        <v>2</v>
      </c>
      <c r="F1636" s="21">
        <f t="shared" si="118"/>
        <v>4000</v>
      </c>
      <c r="H1636" s="12">
        <v>1632</v>
      </c>
    </row>
    <row r="1637" spans="1:8" s="5" customFormat="1">
      <c r="A1637" s="15">
        <v>6</v>
      </c>
      <c r="B1637" s="7" t="s">
        <v>82</v>
      </c>
      <c r="C1637" s="8" t="str">
        <f>Gia_VLieu!C9</f>
        <v>cái</v>
      </c>
      <c r="D1637" s="86">
        <f>Gia_VLieu!D9</f>
        <v>8000</v>
      </c>
      <c r="E1637" s="72">
        <v>0.5</v>
      </c>
      <c r="F1637" s="21">
        <f t="shared" si="118"/>
        <v>4000</v>
      </c>
      <c r="H1637" s="12">
        <v>1633</v>
      </c>
    </row>
    <row r="1638" spans="1:8" s="5" customFormat="1">
      <c r="A1638" s="15">
        <v>7</v>
      </c>
      <c r="B1638" s="7" t="s">
        <v>83</v>
      </c>
      <c r="C1638" s="8" t="str">
        <f>Gia_VLieu!C10</f>
        <v>cái</v>
      </c>
      <c r="D1638" s="86">
        <f>Gia_VLieu!D10</f>
        <v>10000</v>
      </c>
      <c r="E1638" s="72">
        <v>0.5</v>
      </c>
      <c r="F1638" s="21">
        <f t="shared" si="118"/>
        <v>5000</v>
      </c>
      <c r="H1638" s="12">
        <v>1634</v>
      </c>
    </row>
    <row r="1639" spans="1:8" s="5" customFormat="1">
      <c r="A1639" s="15">
        <v>8</v>
      </c>
      <c r="B1639" s="7" t="s">
        <v>84</v>
      </c>
      <c r="C1639" s="8" t="str">
        <f>Gia_VLieu!C11</f>
        <v>hộp</v>
      </c>
      <c r="D1639" s="86">
        <f>Gia_VLieu!D11</f>
        <v>2500</v>
      </c>
      <c r="E1639" s="72">
        <v>1</v>
      </c>
      <c r="F1639" s="21">
        <f t="shared" si="118"/>
        <v>2500</v>
      </c>
      <c r="H1639" s="12">
        <v>1635</v>
      </c>
    </row>
    <row r="1640" spans="1:8" s="5" customFormat="1">
      <c r="A1640" s="15">
        <v>9</v>
      </c>
      <c r="B1640" s="7" t="s">
        <v>85</v>
      </c>
      <c r="C1640" s="8" t="str">
        <f>Gia_VLieu!C12</f>
        <v>hộp</v>
      </c>
      <c r="D1640" s="86">
        <f>Gia_VLieu!D12</f>
        <v>2000</v>
      </c>
      <c r="E1640" s="72">
        <v>0.5</v>
      </c>
      <c r="F1640" s="21">
        <f t="shared" si="118"/>
        <v>1000</v>
      </c>
      <c r="H1640" s="12">
        <v>1636</v>
      </c>
    </row>
    <row r="1641" spans="1:8" s="5" customFormat="1">
      <c r="A1641" s="15">
        <v>10</v>
      </c>
      <c r="B1641" s="7" t="s">
        <v>86</v>
      </c>
      <c r="C1641" s="8" t="str">
        <f>Gia_VLieu!C13</f>
        <v>tập</v>
      </c>
      <c r="D1641" s="86">
        <f>Gia_VLieu!D13</f>
        <v>8000</v>
      </c>
      <c r="E1641" s="72">
        <v>0.75</v>
      </c>
      <c r="F1641" s="21">
        <f t="shared" si="118"/>
        <v>6000</v>
      </c>
      <c r="H1641" s="12">
        <v>1637</v>
      </c>
    </row>
    <row r="1642" spans="1:8" s="5" customFormat="1">
      <c r="A1642" s="57">
        <v>11</v>
      </c>
      <c r="B1642" s="58" t="s">
        <v>87</v>
      </c>
      <c r="C1642" s="59" t="str">
        <f>Gia_VLieu!C14</f>
        <v>cái</v>
      </c>
      <c r="D1642" s="87">
        <f>Gia_VLieu!D14</f>
        <v>15000</v>
      </c>
      <c r="E1642" s="73">
        <v>1</v>
      </c>
      <c r="F1642" s="55">
        <f>D1642*E1642</f>
        <v>15000</v>
      </c>
      <c r="H1642" s="12">
        <v>1638</v>
      </c>
    </row>
    <row r="1643" spans="1:8" s="46" customFormat="1">
      <c r="A1643" s="44" t="e">
        <f>#REF!</f>
        <v>#REF!</v>
      </c>
      <c r="B1643" s="45" t="e">
        <f>#REF!</f>
        <v>#REF!</v>
      </c>
      <c r="C1643" s="20"/>
      <c r="D1643" s="151">
        <f>Gia_VLieu!D$16</f>
        <v>1</v>
      </c>
      <c r="E1643" s="63"/>
      <c r="F1643" s="23">
        <f>SUM(F1644:F1654)*D1643</f>
        <v>88500</v>
      </c>
      <c r="H1643" s="12">
        <v>1639</v>
      </c>
    </row>
    <row r="1644" spans="1:8" s="5" customFormat="1">
      <c r="A1644" s="15">
        <v>1</v>
      </c>
      <c r="B1644" s="7" t="s">
        <v>77</v>
      </c>
      <c r="C1644" s="8" t="str">
        <f>Gia_VLieu!C4</f>
        <v>gram</v>
      </c>
      <c r="D1644" s="86">
        <f>Gia_VLieu!D4</f>
        <v>45000</v>
      </c>
      <c r="E1644" s="72">
        <v>0.1</v>
      </c>
      <c r="F1644" s="21">
        <f>D1644*E1644</f>
        <v>4500</v>
      </c>
      <c r="H1644" s="12">
        <v>1640</v>
      </c>
    </row>
    <row r="1645" spans="1:8" s="5" customFormat="1">
      <c r="A1645" s="15">
        <v>2</v>
      </c>
      <c r="B1645" s="7" t="s">
        <v>78</v>
      </c>
      <c r="C1645" s="8" t="str">
        <f>Gia_VLieu!C5</f>
        <v>hộp</v>
      </c>
      <c r="D1645" s="86">
        <f>Gia_VLieu!D5</f>
        <v>1450000</v>
      </c>
      <c r="E1645" s="72">
        <v>0.02</v>
      </c>
      <c r="F1645" s="21">
        <f t="shared" ref="F1645:F1653" si="119">D1645*E1645</f>
        <v>29000</v>
      </c>
      <c r="H1645" s="12">
        <v>1641</v>
      </c>
    </row>
    <row r="1646" spans="1:8" s="5" customFormat="1">
      <c r="A1646" s="15">
        <v>3</v>
      </c>
      <c r="B1646" s="7" t="s">
        <v>79</v>
      </c>
      <c r="C1646" s="8" t="str">
        <f>Gia_VLieu!C6</f>
        <v>hộp</v>
      </c>
      <c r="D1646" s="86">
        <f>Gia_VLieu!D6</f>
        <v>250000</v>
      </c>
      <c r="E1646" s="72">
        <v>0.01</v>
      </c>
      <c r="F1646" s="21">
        <f t="shared" si="119"/>
        <v>2500</v>
      </c>
      <c r="H1646" s="12">
        <v>1642</v>
      </c>
    </row>
    <row r="1647" spans="1:8" s="5" customFormat="1">
      <c r="A1647" s="15">
        <v>4</v>
      </c>
      <c r="B1647" s="7" t="s">
        <v>80</v>
      </c>
      <c r="C1647" s="8" t="str">
        <f>Gia_VLieu!C7</f>
        <v>quyển</v>
      </c>
      <c r="D1647" s="86">
        <f>Gia_VLieu!D7</f>
        <v>10000</v>
      </c>
      <c r="E1647" s="72">
        <v>1.5</v>
      </c>
      <c r="F1647" s="21">
        <f t="shared" si="119"/>
        <v>15000</v>
      </c>
      <c r="H1647" s="12">
        <v>1643</v>
      </c>
    </row>
    <row r="1648" spans="1:8" s="5" customFormat="1">
      <c r="A1648" s="15">
        <v>5</v>
      </c>
      <c r="B1648" s="7" t="s">
        <v>21</v>
      </c>
      <c r="C1648" s="8" t="str">
        <f>Gia_VLieu!C8</f>
        <v>cái</v>
      </c>
      <c r="D1648" s="86">
        <f>Gia_VLieu!D8</f>
        <v>2000</v>
      </c>
      <c r="E1648" s="72">
        <v>2</v>
      </c>
      <c r="F1648" s="21">
        <f t="shared" si="119"/>
        <v>4000</v>
      </c>
      <c r="H1648" s="12">
        <v>1644</v>
      </c>
    </row>
    <row r="1649" spans="1:8" s="5" customFormat="1">
      <c r="A1649" s="15">
        <v>6</v>
      </c>
      <c r="B1649" s="7" t="s">
        <v>82</v>
      </c>
      <c r="C1649" s="8" t="str">
        <f>Gia_VLieu!C9</f>
        <v>cái</v>
      </c>
      <c r="D1649" s="86">
        <f>Gia_VLieu!D9</f>
        <v>8000</v>
      </c>
      <c r="E1649" s="72">
        <v>0.5</v>
      </c>
      <c r="F1649" s="21">
        <f t="shared" si="119"/>
        <v>4000</v>
      </c>
      <c r="H1649" s="12">
        <v>1645</v>
      </c>
    </row>
    <row r="1650" spans="1:8" s="5" customFormat="1">
      <c r="A1650" s="15">
        <v>7</v>
      </c>
      <c r="B1650" s="7" t="s">
        <v>83</v>
      </c>
      <c r="C1650" s="8" t="str">
        <f>Gia_VLieu!C10</f>
        <v>cái</v>
      </c>
      <c r="D1650" s="86">
        <f>Gia_VLieu!D10</f>
        <v>10000</v>
      </c>
      <c r="E1650" s="72">
        <v>0.5</v>
      </c>
      <c r="F1650" s="21">
        <f t="shared" si="119"/>
        <v>5000</v>
      </c>
      <c r="H1650" s="12">
        <v>1646</v>
      </c>
    </row>
    <row r="1651" spans="1:8" s="5" customFormat="1">
      <c r="A1651" s="15">
        <v>8</v>
      </c>
      <c r="B1651" s="7" t="s">
        <v>84</v>
      </c>
      <c r="C1651" s="8" t="str">
        <f>Gia_VLieu!C11</f>
        <v>hộp</v>
      </c>
      <c r="D1651" s="86">
        <f>Gia_VLieu!D11</f>
        <v>2500</v>
      </c>
      <c r="E1651" s="72">
        <v>1</v>
      </c>
      <c r="F1651" s="21">
        <f t="shared" si="119"/>
        <v>2500</v>
      </c>
      <c r="H1651" s="12">
        <v>1647</v>
      </c>
    </row>
    <row r="1652" spans="1:8" s="5" customFormat="1">
      <c r="A1652" s="15">
        <v>9</v>
      </c>
      <c r="B1652" s="7" t="s">
        <v>85</v>
      </c>
      <c r="C1652" s="8" t="str">
        <f>Gia_VLieu!C12</f>
        <v>hộp</v>
      </c>
      <c r="D1652" s="86">
        <f>Gia_VLieu!D12</f>
        <v>2000</v>
      </c>
      <c r="E1652" s="72">
        <v>0.5</v>
      </c>
      <c r="F1652" s="21">
        <f t="shared" si="119"/>
        <v>1000</v>
      </c>
      <c r="H1652" s="12">
        <v>1648</v>
      </c>
    </row>
    <row r="1653" spans="1:8" s="5" customFormat="1">
      <c r="A1653" s="15">
        <v>10</v>
      </c>
      <c r="B1653" s="7" t="s">
        <v>86</v>
      </c>
      <c r="C1653" s="8" t="str">
        <f>Gia_VLieu!C13</f>
        <v>tập</v>
      </c>
      <c r="D1653" s="86">
        <f>Gia_VLieu!D13</f>
        <v>8000</v>
      </c>
      <c r="E1653" s="72">
        <v>0.75</v>
      </c>
      <c r="F1653" s="21">
        <f t="shared" si="119"/>
        <v>6000</v>
      </c>
      <c r="H1653" s="12">
        <v>1649</v>
      </c>
    </row>
    <row r="1654" spans="1:8" s="5" customFormat="1">
      <c r="A1654" s="57">
        <v>11</v>
      </c>
      <c r="B1654" s="58" t="s">
        <v>87</v>
      </c>
      <c r="C1654" s="59" t="str">
        <f>Gia_VLieu!C14</f>
        <v>cái</v>
      </c>
      <c r="D1654" s="87">
        <f>Gia_VLieu!D14</f>
        <v>15000</v>
      </c>
      <c r="E1654" s="73">
        <v>1</v>
      </c>
      <c r="F1654" s="55">
        <f>D1654*E1654</f>
        <v>15000</v>
      </c>
      <c r="H1654" s="12">
        <v>1650</v>
      </c>
    </row>
    <row r="1655" spans="1:8" s="16" customFormat="1">
      <c r="A1655" s="14" t="e">
        <f>#REF!</f>
        <v>#REF!</v>
      </c>
      <c r="B1655" s="10" t="e">
        <f>#REF!</f>
        <v>#REF!</v>
      </c>
      <c r="C1655" s="9"/>
      <c r="D1655" s="92"/>
      <c r="E1655" s="66"/>
      <c r="F1655" s="22"/>
      <c r="H1655" s="12">
        <v>1651</v>
      </c>
    </row>
    <row r="1656" spans="1:8" s="16" customFormat="1">
      <c r="A1656" s="14" t="e">
        <f>#REF!</f>
        <v>#REF!</v>
      </c>
      <c r="B1656" s="10" t="e">
        <f>#REF!</f>
        <v>#REF!</v>
      </c>
      <c r="C1656" s="9"/>
      <c r="D1656" s="151">
        <f>Gia_VLieu!D$16</f>
        <v>1</v>
      </c>
      <c r="E1656" s="63"/>
      <c r="F1656" s="23">
        <f>SUM(F1657:F1667)*D1656</f>
        <v>323000</v>
      </c>
      <c r="H1656" s="12">
        <v>1652</v>
      </c>
    </row>
    <row r="1657" spans="1:8" s="5" customFormat="1">
      <c r="A1657" s="15">
        <v>1</v>
      </c>
      <c r="B1657" s="7" t="s">
        <v>77</v>
      </c>
      <c r="C1657" s="8" t="str">
        <f>Gia_VLieu!C4</f>
        <v>gram</v>
      </c>
      <c r="D1657" s="86">
        <f>Gia_VLieu!D4</f>
        <v>45000</v>
      </c>
      <c r="E1657" s="72">
        <v>0.5</v>
      </c>
      <c r="F1657" s="21">
        <f>D1657*E1657</f>
        <v>22500</v>
      </c>
      <c r="H1657" s="12">
        <v>1653</v>
      </c>
    </row>
    <row r="1658" spans="1:8" s="5" customFormat="1">
      <c r="A1658" s="15">
        <v>2</v>
      </c>
      <c r="B1658" s="7" t="s">
        <v>78</v>
      </c>
      <c r="C1658" s="8" t="str">
        <f>Gia_VLieu!C5</f>
        <v>hộp</v>
      </c>
      <c r="D1658" s="86">
        <f>Gia_VLieu!D5</f>
        <v>1450000</v>
      </c>
      <c r="E1658" s="72">
        <v>0.06</v>
      </c>
      <c r="F1658" s="21">
        <f t="shared" ref="F1658:F1666" si="120">D1658*E1658</f>
        <v>87000</v>
      </c>
      <c r="H1658" s="12">
        <v>1654</v>
      </c>
    </row>
    <row r="1659" spans="1:8" s="5" customFormat="1">
      <c r="A1659" s="15">
        <v>3</v>
      </c>
      <c r="B1659" s="7" t="s">
        <v>79</v>
      </c>
      <c r="C1659" s="8" t="str">
        <f>Gia_VLieu!C6</f>
        <v>hộp</v>
      </c>
      <c r="D1659" s="86">
        <f>Gia_VLieu!D6</f>
        <v>250000</v>
      </c>
      <c r="E1659" s="72">
        <v>0.08</v>
      </c>
      <c r="F1659" s="21">
        <f t="shared" si="120"/>
        <v>20000</v>
      </c>
      <c r="H1659" s="12">
        <v>1655</v>
      </c>
    </row>
    <row r="1660" spans="1:8" s="5" customFormat="1">
      <c r="A1660" s="15">
        <v>4</v>
      </c>
      <c r="B1660" s="7" t="s">
        <v>80</v>
      </c>
      <c r="C1660" s="8" t="str">
        <f>Gia_VLieu!C7</f>
        <v>quyển</v>
      </c>
      <c r="D1660" s="86">
        <f>Gia_VLieu!D7</f>
        <v>10000</v>
      </c>
      <c r="E1660" s="72">
        <v>4</v>
      </c>
      <c r="F1660" s="21">
        <f t="shared" si="120"/>
        <v>40000</v>
      </c>
      <c r="H1660" s="12">
        <v>1656</v>
      </c>
    </row>
    <row r="1661" spans="1:8" s="5" customFormat="1">
      <c r="A1661" s="15">
        <v>5</v>
      </c>
      <c r="B1661" s="7" t="s">
        <v>21</v>
      </c>
      <c r="C1661" s="8" t="str">
        <f>Gia_VLieu!C8</f>
        <v>cái</v>
      </c>
      <c r="D1661" s="86">
        <f>Gia_VLieu!D8</f>
        <v>2000</v>
      </c>
      <c r="E1661" s="72">
        <v>6</v>
      </c>
      <c r="F1661" s="21">
        <f t="shared" si="120"/>
        <v>12000</v>
      </c>
      <c r="H1661" s="12">
        <v>1657</v>
      </c>
    </row>
    <row r="1662" spans="1:8" s="5" customFormat="1">
      <c r="A1662" s="15">
        <v>6</v>
      </c>
      <c r="B1662" s="7" t="s">
        <v>82</v>
      </c>
      <c r="C1662" s="8" t="str">
        <f>Gia_VLieu!C9</f>
        <v>cái</v>
      </c>
      <c r="D1662" s="86">
        <f>Gia_VLieu!D9</f>
        <v>8000</v>
      </c>
      <c r="E1662" s="72">
        <v>3</v>
      </c>
      <c r="F1662" s="21">
        <f t="shared" si="120"/>
        <v>24000</v>
      </c>
      <c r="H1662" s="12">
        <v>1658</v>
      </c>
    </row>
    <row r="1663" spans="1:8" s="5" customFormat="1">
      <c r="A1663" s="15">
        <v>7</v>
      </c>
      <c r="B1663" s="7" t="s">
        <v>83</v>
      </c>
      <c r="C1663" s="8" t="str">
        <f>Gia_VLieu!C10</f>
        <v>cái</v>
      </c>
      <c r="D1663" s="86">
        <f>Gia_VLieu!D10</f>
        <v>10000</v>
      </c>
      <c r="E1663" s="72">
        <v>3</v>
      </c>
      <c r="F1663" s="21">
        <f t="shared" si="120"/>
        <v>30000</v>
      </c>
      <c r="H1663" s="12">
        <v>1659</v>
      </c>
    </row>
    <row r="1664" spans="1:8" s="5" customFormat="1">
      <c r="A1664" s="15">
        <v>8</v>
      </c>
      <c r="B1664" s="7" t="s">
        <v>84</v>
      </c>
      <c r="C1664" s="8" t="str">
        <f>Gia_VLieu!C11</f>
        <v>hộp</v>
      </c>
      <c r="D1664" s="86">
        <f>Gia_VLieu!D11</f>
        <v>2500</v>
      </c>
      <c r="E1664" s="72">
        <v>3</v>
      </c>
      <c r="F1664" s="21">
        <f t="shared" si="120"/>
        <v>7500</v>
      </c>
      <c r="H1664" s="12">
        <v>1660</v>
      </c>
    </row>
    <row r="1665" spans="1:8" s="5" customFormat="1">
      <c r="A1665" s="15">
        <v>9</v>
      </c>
      <c r="B1665" s="7" t="s">
        <v>85</v>
      </c>
      <c r="C1665" s="8" t="str">
        <f>Gia_VLieu!C12</f>
        <v>hộp</v>
      </c>
      <c r="D1665" s="86">
        <f>Gia_VLieu!D12</f>
        <v>2000</v>
      </c>
      <c r="E1665" s="72">
        <v>2</v>
      </c>
      <c r="F1665" s="21">
        <f t="shared" si="120"/>
        <v>4000</v>
      </c>
      <c r="H1665" s="12">
        <v>1661</v>
      </c>
    </row>
    <row r="1666" spans="1:8" s="5" customFormat="1">
      <c r="A1666" s="15">
        <v>10</v>
      </c>
      <c r="B1666" s="7" t="s">
        <v>86</v>
      </c>
      <c r="C1666" s="8" t="str">
        <f>Gia_VLieu!C13</f>
        <v>tập</v>
      </c>
      <c r="D1666" s="86">
        <f>Gia_VLieu!D13</f>
        <v>8000</v>
      </c>
      <c r="E1666" s="72">
        <v>2</v>
      </c>
      <c r="F1666" s="21">
        <f t="shared" si="120"/>
        <v>16000</v>
      </c>
      <c r="H1666" s="12">
        <v>1662</v>
      </c>
    </row>
    <row r="1667" spans="1:8" s="5" customFormat="1">
      <c r="A1667" s="57">
        <v>11</v>
      </c>
      <c r="B1667" s="58" t="s">
        <v>87</v>
      </c>
      <c r="C1667" s="59" t="str">
        <f>Gia_VLieu!C14</f>
        <v>cái</v>
      </c>
      <c r="D1667" s="87">
        <f>Gia_VLieu!D14</f>
        <v>15000</v>
      </c>
      <c r="E1667" s="73">
        <v>4</v>
      </c>
      <c r="F1667" s="55">
        <f>D1667*E1667</f>
        <v>60000</v>
      </c>
      <c r="H1667" s="12">
        <v>1663</v>
      </c>
    </row>
    <row r="1668" spans="1:8" s="16" customFormat="1">
      <c r="A1668" s="14" t="e">
        <f>#REF!</f>
        <v>#REF!</v>
      </c>
      <c r="B1668" s="10" t="e">
        <f>#REF!</f>
        <v>#REF!</v>
      </c>
      <c r="C1668" s="9"/>
      <c r="D1668" s="151">
        <f>Gia_VLieu!D$16</f>
        <v>1</v>
      </c>
      <c r="E1668" s="63"/>
      <c r="F1668" s="23">
        <f>SUM(F1669:F1679)*D1668</f>
        <v>122900</v>
      </c>
      <c r="H1668" s="12">
        <v>1664</v>
      </c>
    </row>
    <row r="1669" spans="1:8" s="5" customFormat="1">
      <c r="A1669" s="15">
        <v>1</v>
      </c>
      <c r="B1669" s="7" t="s">
        <v>77</v>
      </c>
      <c r="C1669" s="8" t="str">
        <f>Gia_VLieu!C4</f>
        <v>gram</v>
      </c>
      <c r="D1669" s="86">
        <f>Gia_VLieu!D4</f>
        <v>45000</v>
      </c>
      <c r="E1669" s="72">
        <v>0.2</v>
      </c>
      <c r="F1669" s="21">
        <f>D1669*E1669</f>
        <v>9000</v>
      </c>
      <c r="H1669" s="12">
        <v>1665</v>
      </c>
    </row>
    <row r="1670" spans="1:8" s="5" customFormat="1">
      <c r="A1670" s="15">
        <v>2</v>
      </c>
      <c r="B1670" s="7" t="s">
        <v>78</v>
      </c>
      <c r="C1670" s="8" t="str">
        <f>Gia_VLieu!C5</f>
        <v>hộp</v>
      </c>
      <c r="D1670" s="86">
        <f>Gia_VLieu!D5</f>
        <v>1450000</v>
      </c>
      <c r="E1670" s="72">
        <v>0.02</v>
      </c>
      <c r="F1670" s="21">
        <f t="shared" ref="F1670:F1678" si="121">D1670*E1670</f>
        <v>29000</v>
      </c>
      <c r="H1670" s="12">
        <v>1666</v>
      </c>
    </row>
    <row r="1671" spans="1:8" s="5" customFormat="1">
      <c r="A1671" s="15">
        <v>3</v>
      </c>
      <c r="B1671" s="7" t="s">
        <v>79</v>
      </c>
      <c r="C1671" s="8" t="str">
        <f>Gia_VLieu!C6</f>
        <v>hộp</v>
      </c>
      <c r="D1671" s="86">
        <f>Gia_VLieu!D6</f>
        <v>250000</v>
      </c>
      <c r="E1671" s="72">
        <v>0.03</v>
      </c>
      <c r="F1671" s="21">
        <f t="shared" si="121"/>
        <v>7500</v>
      </c>
      <c r="H1671" s="12">
        <v>1667</v>
      </c>
    </row>
    <row r="1672" spans="1:8" s="5" customFormat="1">
      <c r="A1672" s="15">
        <v>4</v>
      </c>
      <c r="B1672" s="7" t="s">
        <v>80</v>
      </c>
      <c r="C1672" s="8" t="str">
        <f>Gia_VLieu!C7</f>
        <v>quyển</v>
      </c>
      <c r="D1672" s="86">
        <f>Gia_VLieu!D7</f>
        <v>10000</v>
      </c>
      <c r="E1672" s="72">
        <v>1.6</v>
      </c>
      <c r="F1672" s="21">
        <f t="shared" si="121"/>
        <v>16000</v>
      </c>
      <c r="H1672" s="12">
        <v>1668</v>
      </c>
    </row>
    <row r="1673" spans="1:8" s="5" customFormat="1">
      <c r="A1673" s="15">
        <v>5</v>
      </c>
      <c r="B1673" s="7" t="s">
        <v>21</v>
      </c>
      <c r="C1673" s="8" t="str">
        <f>Gia_VLieu!C8</f>
        <v>cái</v>
      </c>
      <c r="D1673" s="86">
        <f>Gia_VLieu!D8</f>
        <v>2000</v>
      </c>
      <c r="E1673" s="72">
        <v>2.4</v>
      </c>
      <c r="F1673" s="21">
        <f t="shared" si="121"/>
        <v>4800</v>
      </c>
      <c r="H1673" s="12">
        <v>1669</v>
      </c>
    </row>
    <row r="1674" spans="1:8" s="5" customFormat="1">
      <c r="A1674" s="15">
        <v>6</v>
      </c>
      <c r="B1674" s="7" t="s">
        <v>82</v>
      </c>
      <c r="C1674" s="8" t="str">
        <f>Gia_VLieu!C9</f>
        <v>cái</v>
      </c>
      <c r="D1674" s="86">
        <f>Gia_VLieu!D9</f>
        <v>8000</v>
      </c>
      <c r="E1674" s="72">
        <v>1.2</v>
      </c>
      <c r="F1674" s="21">
        <f t="shared" si="121"/>
        <v>9600</v>
      </c>
      <c r="H1674" s="12">
        <v>1670</v>
      </c>
    </row>
    <row r="1675" spans="1:8" s="5" customFormat="1">
      <c r="A1675" s="15">
        <v>7</v>
      </c>
      <c r="B1675" s="7" t="s">
        <v>83</v>
      </c>
      <c r="C1675" s="8" t="str">
        <f>Gia_VLieu!C10</f>
        <v>cái</v>
      </c>
      <c r="D1675" s="86">
        <f>Gia_VLieu!D10</f>
        <v>10000</v>
      </c>
      <c r="E1675" s="72">
        <v>1.2</v>
      </c>
      <c r="F1675" s="21">
        <f t="shared" si="121"/>
        <v>12000</v>
      </c>
      <c r="H1675" s="12">
        <v>1671</v>
      </c>
    </row>
    <row r="1676" spans="1:8" s="5" customFormat="1">
      <c r="A1676" s="15">
        <v>8</v>
      </c>
      <c r="B1676" s="7" t="s">
        <v>84</v>
      </c>
      <c r="C1676" s="8" t="str">
        <f>Gia_VLieu!C11</f>
        <v>hộp</v>
      </c>
      <c r="D1676" s="86">
        <f>Gia_VLieu!D11</f>
        <v>2500</v>
      </c>
      <c r="E1676" s="72">
        <v>1.2</v>
      </c>
      <c r="F1676" s="21">
        <f t="shared" si="121"/>
        <v>3000</v>
      </c>
      <c r="H1676" s="12">
        <v>1672</v>
      </c>
    </row>
    <row r="1677" spans="1:8" s="5" customFormat="1">
      <c r="A1677" s="15">
        <v>9</v>
      </c>
      <c r="B1677" s="7" t="s">
        <v>85</v>
      </c>
      <c r="C1677" s="8" t="str">
        <f>Gia_VLieu!C12</f>
        <v>hộp</v>
      </c>
      <c r="D1677" s="86">
        <f>Gia_VLieu!D12</f>
        <v>2000</v>
      </c>
      <c r="E1677" s="72">
        <v>0.8</v>
      </c>
      <c r="F1677" s="21">
        <f t="shared" si="121"/>
        <v>1600</v>
      </c>
      <c r="H1677" s="12">
        <v>1673</v>
      </c>
    </row>
    <row r="1678" spans="1:8" s="5" customFormat="1">
      <c r="A1678" s="15">
        <v>10</v>
      </c>
      <c r="B1678" s="7" t="s">
        <v>86</v>
      </c>
      <c r="C1678" s="8" t="str">
        <f>Gia_VLieu!C13</f>
        <v>tập</v>
      </c>
      <c r="D1678" s="86">
        <f>Gia_VLieu!D13</f>
        <v>8000</v>
      </c>
      <c r="E1678" s="72">
        <v>0.8</v>
      </c>
      <c r="F1678" s="21">
        <f t="shared" si="121"/>
        <v>6400</v>
      </c>
      <c r="H1678" s="12">
        <v>1674</v>
      </c>
    </row>
    <row r="1679" spans="1:8" s="5" customFormat="1">
      <c r="A1679" s="57">
        <v>11</v>
      </c>
      <c r="B1679" s="58" t="s">
        <v>87</v>
      </c>
      <c r="C1679" s="59" t="str">
        <f>Gia_VLieu!C14</f>
        <v>cái</v>
      </c>
      <c r="D1679" s="87">
        <f>Gia_VLieu!D14</f>
        <v>15000</v>
      </c>
      <c r="E1679" s="73">
        <v>1.6</v>
      </c>
      <c r="F1679" s="55">
        <f>D1679*E1679</f>
        <v>24000</v>
      </c>
      <c r="H1679" s="12">
        <v>1675</v>
      </c>
    </row>
    <row r="1680" spans="1:8" s="16" customFormat="1">
      <c r="A1680" s="14" t="e">
        <f>#REF!</f>
        <v>#REF!</v>
      </c>
      <c r="B1680" s="10" t="e">
        <f>#REF!</f>
        <v>#REF!</v>
      </c>
      <c r="C1680" s="9"/>
      <c r="D1680" s="151">
        <f>Gia_VLieu!D$16</f>
        <v>1</v>
      </c>
      <c r="E1680" s="63"/>
      <c r="F1680" s="23">
        <f>SUM(F1681:F1691)*D1680</f>
        <v>161500</v>
      </c>
      <c r="H1680" s="12">
        <v>1676</v>
      </c>
    </row>
    <row r="1681" spans="1:8" s="5" customFormat="1">
      <c r="A1681" s="15">
        <v>1</v>
      </c>
      <c r="B1681" s="7" t="s">
        <v>77</v>
      </c>
      <c r="C1681" s="8" t="str">
        <f>Gia_VLieu!C4</f>
        <v>gram</v>
      </c>
      <c r="D1681" s="86">
        <f>Gia_VLieu!D4</f>
        <v>45000</v>
      </c>
      <c r="E1681" s="72">
        <v>0.25</v>
      </c>
      <c r="F1681" s="21">
        <f>D1681*E1681</f>
        <v>11250</v>
      </c>
      <c r="H1681" s="12">
        <v>1677</v>
      </c>
    </row>
    <row r="1682" spans="1:8" s="5" customFormat="1">
      <c r="A1682" s="15">
        <v>2</v>
      </c>
      <c r="B1682" s="7" t="s">
        <v>78</v>
      </c>
      <c r="C1682" s="8" t="str">
        <f>Gia_VLieu!C5</f>
        <v>hộp</v>
      </c>
      <c r="D1682" s="86">
        <f>Gia_VLieu!D5</f>
        <v>1450000</v>
      </c>
      <c r="E1682" s="72">
        <v>0.03</v>
      </c>
      <c r="F1682" s="21">
        <f t="shared" ref="F1682:F1690" si="122">D1682*E1682</f>
        <v>43500</v>
      </c>
      <c r="H1682" s="12">
        <v>1678</v>
      </c>
    </row>
    <row r="1683" spans="1:8" s="5" customFormat="1">
      <c r="A1683" s="15">
        <v>3</v>
      </c>
      <c r="B1683" s="7" t="s">
        <v>79</v>
      </c>
      <c r="C1683" s="8" t="str">
        <f>Gia_VLieu!C6</f>
        <v>hộp</v>
      </c>
      <c r="D1683" s="86">
        <f>Gia_VLieu!D6</f>
        <v>250000</v>
      </c>
      <c r="E1683" s="72">
        <v>0.04</v>
      </c>
      <c r="F1683" s="21">
        <f t="shared" si="122"/>
        <v>10000</v>
      </c>
      <c r="H1683" s="12">
        <v>1679</v>
      </c>
    </row>
    <row r="1684" spans="1:8" s="5" customFormat="1">
      <c r="A1684" s="15">
        <v>4</v>
      </c>
      <c r="B1684" s="7" t="s">
        <v>80</v>
      </c>
      <c r="C1684" s="8" t="str">
        <f>Gia_VLieu!C7</f>
        <v>quyển</v>
      </c>
      <c r="D1684" s="86">
        <f>Gia_VLieu!D7</f>
        <v>10000</v>
      </c>
      <c r="E1684" s="72">
        <v>2</v>
      </c>
      <c r="F1684" s="21">
        <f t="shared" si="122"/>
        <v>20000</v>
      </c>
      <c r="H1684" s="12">
        <v>1680</v>
      </c>
    </row>
    <row r="1685" spans="1:8" s="5" customFormat="1">
      <c r="A1685" s="15">
        <v>5</v>
      </c>
      <c r="B1685" s="7" t="s">
        <v>21</v>
      </c>
      <c r="C1685" s="8" t="str">
        <f>Gia_VLieu!C8</f>
        <v>cái</v>
      </c>
      <c r="D1685" s="86">
        <f>Gia_VLieu!D8</f>
        <v>2000</v>
      </c>
      <c r="E1685" s="72">
        <v>3</v>
      </c>
      <c r="F1685" s="21">
        <f t="shared" si="122"/>
        <v>6000</v>
      </c>
      <c r="H1685" s="12">
        <v>1681</v>
      </c>
    </row>
    <row r="1686" spans="1:8" s="5" customFormat="1">
      <c r="A1686" s="15">
        <v>6</v>
      </c>
      <c r="B1686" s="7" t="s">
        <v>82</v>
      </c>
      <c r="C1686" s="8" t="str">
        <f>Gia_VLieu!C9</f>
        <v>cái</v>
      </c>
      <c r="D1686" s="86">
        <f>Gia_VLieu!D9</f>
        <v>8000</v>
      </c>
      <c r="E1686" s="72">
        <v>1.5</v>
      </c>
      <c r="F1686" s="21">
        <f t="shared" si="122"/>
        <v>12000</v>
      </c>
      <c r="H1686" s="12">
        <v>1682</v>
      </c>
    </row>
    <row r="1687" spans="1:8" s="5" customFormat="1">
      <c r="A1687" s="15">
        <v>7</v>
      </c>
      <c r="B1687" s="7" t="s">
        <v>83</v>
      </c>
      <c r="C1687" s="8" t="str">
        <f>Gia_VLieu!C10</f>
        <v>cái</v>
      </c>
      <c r="D1687" s="86">
        <f>Gia_VLieu!D10</f>
        <v>10000</v>
      </c>
      <c r="E1687" s="72">
        <v>1.5</v>
      </c>
      <c r="F1687" s="21">
        <f t="shared" si="122"/>
        <v>15000</v>
      </c>
      <c r="H1687" s="12">
        <v>1683</v>
      </c>
    </row>
    <row r="1688" spans="1:8" s="5" customFormat="1">
      <c r="A1688" s="15">
        <v>8</v>
      </c>
      <c r="B1688" s="7" t="s">
        <v>84</v>
      </c>
      <c r="C1688" s="8" t="str">
        <f>Gia_VLieu!C11</f>
        <v>hộp</v>
      </c>
      <c r="D1688" s="86">
        <f>Gia_VLieu!D11</f>
        <v>2500</v>
      </c>
      <c r="E1688" s="72">
        <v>1.5</v>
      </c>
      <c r="F1688" s="21">
        <f t="shared" si="122"/>
        <v>3750</v>
      </c>
      <c r="H1688" s="12">
        <v>1684</v>
      </c>
    </row>
    <row r="1689" spans="1:8" s="5" customFormat="1">
      <c r="A1689" s="15">
        <v>9</v>
      </c>
      <c r="B1689" s="7" t="s">
        <v>85</v>
      </c>
      <c r="C1689" s="8" t="str">
        <f>Gia_VLieu!C12</f>
        <v>hộp</v>
      </c>
      <c r="D1689" s="86">
        <f>Gia_VLieu!D12</f>
        <v>2000</v>
      </c>
      <c r="E1689" s="72">
        <v>1</v>
      </c>
      <c r="F1689" s="21">
        <f t="shared" si="122"/>
        <v>2000</v>
      </c>
      <c r="H1689" s="12">
        <v>1685</v>
      </c>
    </row>
    <row r="1690" spans="1:8" s="5" customFormat="1">
      <c r="A1690" s="15">
        <v>10</v>
      </c>
      <c r="B1690" s="7" t="s">
        <v>86</v>
      </c>
      <c r="C1690" s="8" t="str">
        <f>Gia_VLieu!C13</f>
        <v>tập</v>
      </c>
      <c r="D1690" s="86">
        <f>Gia_VLieu!D13</f>
        <v>8000</v>
      </c>
      <c r="E1690" s="72">
        <v>1</v>
      </c>
      <c r="F1690" s="21">
        <f t="shared" si="122"/>
        <v>8000</v>
      </c>
      <c r="H1690" s="12">
        <v>1686</v>
      </c>
    </row>
    <row r="1691" spans="1:8" s="5" customFormat="1">
      <c r="A1691" s="15">
        <v>11</v>
      </c>
      <c r="B1691" s="7" t="s">
        <v>87</v>
      </c>
      <c r="C1691" s="8" t="str">
        <f>Gia_VLieu!C14</f>
        <v>cái</v>
      </c>
      <c r="D1691" s="86">
        <f>Gia_VLieu!D14</f>
        <v>15000</v>
      </c>
      <c r="E1691" s="72">
        <v>2</v>
      </c>
      <c r="F1691" s="21">
        <f>D1691*E1691</f>
        <v>30000</v>
      </c>
      <c r="H1691" s="12">
        <v>1687</v>
      </c>
    </row>
    <row r="1692" spans="1:8" s="5" customFormat="1" ht="16.5" thickBot="1">
      <c r="A1692" s="145"/>
      <c r="B1692" s="146"/>
      <c r="C1692" s="147"/>
      <c r="D1692" s="96"/>
      <c r="E1692" s="152"/>
      <c r="F1692" s="153"/>
      <c r="H1692" s="12"/>
    </row>
  </sheetData>
  <mergeCells count="7">
    <mergeCell ref="A1:F1"/>
    <mergeCell ref="A273:A275"/>
    <mergeCell ref="A288:A290"/>
    <mergeCell ref="A302:A304"/>
    <mergeCell ref="A3:A4"/>
    <mergeCell ref="B3:B4"/>
    <mergeCell ref="C3:C4"/>
  </mergeCells>
  <phoneticPr fontId="90" type="noConversion"/>
  <printOptions horizontalCentered="1"/>
  <pageMargins left="0.5" right="0.25" top="0.5" bottom="0.5" header="0.5" footer="0.5"/>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5"/>
  <sheetViews>
    <sheetView zoomScale="85" zoomScaleNormal="85" workbookViewId="0">
      <pane ySplit="2" topLeftCell="A9" activePane="bottomLeft" state="frozen"/>
      <selection activeCell="J17" sqref="J17"/>
      <selection pane="bottomLeft" activeCell="J17" sqref="J17"/>
    </sheetView>
  </sheetViews>
  <sheetFormatPr defaultColWidth="9" defaultRowHeight="15.75"/>
  <cols>
    <col min="1" max="1" width="5" style="233" customWidth="1"/>
    <col min="2" max="2" width="40.75" style="233" customWidth="1"/>
    <col min="3" max="3" width="8.375" style="233" customWidth="1"/>
    <col min="4" max="4" width="13.375" style="233" customWidth="1"/>
    <col min="5" max="5" width="16.375" style="234" customWidth="1"/>
    <col min="6" max="6" width="7.125" style="234" customWidth="1"/>
    <col min="7" max="7" width="12.625" style="234" customWidth="1"/>
    <col min="8" max="8" width="11.625" style="235" customWidth="1"/>
    <col min="9" max="9" width="13.375" style="1142" customWidth="1"/>
    <col min="10" max="10" width="33" style="300" customWidth="1"/>
    <col min="11" max="11" width="18.625" style="232" customWidth="1"/>
    <col min="12" max="12" width="17.125" style="232" customWidth="1"/>
    <col min="13" max="13" width="12.25" style="232" customWidth="1"/>
    <col min="14" max="15" width="9" style="233"/>
    <col min="16" max="16" width="14.625" style="233" customWidth="1"/>
    <col min="17" max="17" width="18.375" style="233" customWidth="1"/>
    <col min="18" max="16384" width="9" style="233"/>
  </cols>
  <sheetData>
    <row r="1" spans="1:15" ht="72" customHeight="1">
      <c r="A1" s="1858" t="s">
        <v>1032</v>
      </c>
      <c r="B1" s="1859"/>
      <c r="C1" s="1859"/>
      <c r="D1" s="1859"/>
      <c r="E1" s="1859"/>
      <c r="F1" s="1859"/>
      <c r="G1" s="1859"/>
      <c r="H1" s="1859"/>
      <c r="I1" s="1859"/>
      <c r="J1" s="1859"/>
      <c r="K1" s="1859"/>
    </row>
    <row r="2" spans="1:15" ht="31.5">
      <c r="A2" s="837" t="s">
        <v>9</v>
      </c>
      <c r="B2" s="1139" t="s">
        <v>109</v>
      </c>
      <c r="C2" s="1139" t="s">
        <v>20</v>
      </c>
      <c r="D2" s="1139" t="s">
        <v>7</v>
      </c>
      <c r="E2" s="303" t="s">
        <v>990</v>
      </c>
      <c r="F2" s="304" t="s">
        <v>111</v>
      </c>
      <c r="G2" s="304" t="s">
        <v>882</v>
      </c>
      <c r="H2" s="305" t="s">
        <v>246</v>
      </c>
      <c r="I2" s="1143" t="s">
        <v>911</v>
      </c>
      <c r="J2" s="314" t="s">
        <v>797</v>
      </c>
      <c r="K2" s="308" t="s">
        <v>912</v>
      </c>
      <c r="L2" s="302">
        <v>8000</v>
      </c>
      <c r="N2" s="232"/>
      <c r="O2" s="232"/>
    </row>
    <row r="3" spans="1:15" s="352" customFormat="1">
      <c r="A3" s="312"/>
      <c r="B3" s="1138" t="s">
        <v>799</v>
      </c>
      <c r="C3" s="1351"/>
      <c r="D3" s="1351"/>
      <c r="E3" s="308"/>
      <c r="F3" s="308"/>
      <c r="G3" s="308"/>
      <c r="H3" s="811"/>
      <c r="I3" s="1144"/>
      <c r="J3" s="1247"/>
      <c r="K3" s="812">
        <f>K4+K7</f>
        <v>2348182.692307692</v>
      </c>
      <c r="L3" s="351"/>
      <c r="M3" s="351"/>
      <c r="N3" s="351"/>
      <c r="O3" s="351"/>
    </row>
    <row r="4" spans="1:15">
      <c r="A4" s="312">
        <v>1</v>
      </c>
      <c r="B4" s="1138" t="s">
        <v>799</v>
      </c>
      <c r="C4" s="1351"/>
      <c r="D4" s="1351"/>
      <c r="E4" s="308"/>
      <c r="F4" s="308"/>
      <c r="G4" s="308"/>
      <c r="H4" s="811"/>
      <c r="I4" s="475"/>
      <c r="J4" s="1304" t="s">
        <v>886</v>
      </c>
      <c r="K4" s="812">
        <f>SUM(K5:K6)</f>
        <v>1707769.2307692308</v>
      </c>
      <c r="N4" s="232"/>
      <c r="O4" s="232"/>
    </row>
    <row r="5" spans="1:15" ht="126">
      <c r="A5" s="309" t="s">
        <v>156</v>
      </c>
      <c r="B5" s="830" t="s">
        <v>844</v>
      </c>
      <c r="C5" s="1199" t="s">
        <v>920</v>
      </c>
      <c r="D5" s="1199" t="s">
        <v>913</v>
      </c>
      <c r="E5" s="1341">
        <v>6</v>
      </c>
      <c r="F5" s="1341">
        <f t="shared" ref="F5:F8" si="0">E5</f>
        <v>6</v>
      </c>
      <c r="G5" s="1261"/>
      <c r="H5" s="1264">
        <f>L_CBan!K38</f>
        <v>213471.15384615384</v>
      </c>
      <c r="I5" s="1342">
        <f t="shared" ref="I5:I6" si="1">F5*H5</f>
        <v>1280826.923076923</v>
      </c>
      <c r="J5" s="826" t="s">
        <v>967</v>
      </c>
      <c r="K5" s="1265">
        <f>I5</f>
        <v>1280826.923076923</v>
      </c>
      <c r="L5" s="1345" t="s">
        <v>932</v>
      </c>
      <c r="N5" s="232"/>
      <c r="O5" s="232"/>
    </row>
    <row r="6" spans="1:15" ht="47.25">
      <c r="A6" s="309" t="s">
        <v>157</v>
      </c>
      <c r="B6" s="830" t="s">
        <v>1033</v>
      </c>
      <c r="C6" s="316" t="s">
        <v>920</v>
      </c>
      <c r="D6" s="316" t="s">
        <v>913</v>
      </c>
      <c r="E6" s="374">
        <v>2</v>
      </c>
      <c r="F6" s="374">
        <f t="shared" si="0"/>
        <v>2</v>
      </c>
      <c r="G6" s="307"/>
      <c r="H6" s="809">
        <f>L_CBan!K38</f>
        <v>213471.15384615384</v>
      </c>
      <c r="I6" s="1141">
        <f t="shared" si="1"/>
        <v>426942.30769230769</v>
      </c>
      <c r="J6" s="826" t="s">
        <v>967</v>
      </c>
      <c r="K6" s="810">
        <f>I6</f>
        <v>426942.30769230769</v>
      </c>
      <c r="N6" s="232"/>
      <c r="O6" s="232"/>
    </row>
    <row r="7" spans="1:15">
      <c r="A7" s="312">
        <v>2</v>
      </c>
      <c r="B7" s="1138" t="s">
        <v>845</v>
      </c>
      <c r="C7" s="1351"/>
      <c r="D7" s="1351"/>
      <c r="E7" s="308"/>
      <c r="F7" s="308"/>
      <c r="G7" s="308"/>
      <c r="H7" s="811"/>
      <c r="I7" s="475"/>
      <c r="J7" s="1304"/>
      <c r="K7" s="812">
        <f>K8</f>
        <v>640413.4615384615</v>
      </c>
      <c r="N7" s="232"/>
      <c r="O7" s="232"/>
    </row>
    <row r="8" spans="1:15" ht="47.25">
      <c r="A8" s="309"/>
      <c r="B8" s="1136" t="s">
        <v>1034</v>
      </c>
      <c r="C8" s="316" t="s">
        <v>920</v>
      </c>
      <c r="D8" s="316" t="s">
        <v>913</v>
      </c>
      <c r="E8" s="374">
        <v>3</v>
      </c>
      <c r="F8" s="374">
        <f t="shared" si="0"/>
        <v>3</v>
      </c>
      <c r="G8" s="307"/>
      <c r="H8" s="809">
        <f>L_CBan!K38</f>
        <v>213471.15384615384</v>
      </c>
      <c r="I8" s="1141">
        <f t="shared" ref="I8" si="2">F8*H8</f>
        <v>640413.4615384615</v>
      </c>
      <c r="J8" s="826" t="s">
        <v>967</v>
      </c>
      <c r="K8" s="810">
        <f>I8</f>
        <v>640413.4615384615</v>
      </c>
      <c r="N8" s="232"/>
      <c r="O8" s="232"/>
    </row>
    <row r="9" spans="1:15">
      <c r="A9" s="232"/>
      <c r="B9" s="232"/>
      <c r="C9" s="232"/>
      <c r="D9" s="232"/>
      <c r="E9" s="834"/>
      <c r="F9" s="834"/>
      <c r="G9" s="834"/>
      <c r="H9" s="835"/>
      <c r="I9" s="1293" t="str">
        <f>J9</f>
        <v>Nhân công</v>
      </c>
      <c r="J9" s="300" t="s">
        <v>170</v>
      </c>
      <c r="K9" s="1243">
        <f>K3</f>
        <v>2348182.692307692</v>
      </c>
      <c r="N9" s="232"/>
      <c r="O9" s="232"/>
    </row>
    <row r="10" spans="1:15">
      <c r="A10" s="232"/>
      <c r="B10" s="232"/>
      <c r="C10" s="232"/>
      <c r="D10" s="232"/>
      <c r="E10" s="834"/>
      <c r="F10" s="834"/>
      <c r="G10" s="834"/>
      <c r="H10" s="835"/>
      <c r="I10" s="1293" t="str">
        <f t="shared" ref="I10:I13" si="3">J10</f>
        <v>Vật liệu</v>
      </c>
      <c r="J10" s="300" t="s">
        <v>166</v>
      </c>
      <c r="K10" s="419">
        <f>'Vật liệu DL Nen 17--&gt;75'!J5</f>
        <v>245900</v>
      </c>
      <c r="N10" s="232"/>
      <c r="O10" s="232"/>
    </row>
    <row r="11" spans="1:15">
      <c r="A11" s="232"/>
      <c r="B11" s="232"/>
      <c r="C11" s="232"/>
      <c r="D11" s="232"/>
      <c r="E11" s="834"/>
      <c r="F11" s="834"/>
      <c r="G11" s="834"/>
      <c r="H11" s="835"/>
      <c r="I11" s="1293" t="str">
        <f t="shared" si="3"/>
        <v>Thiết bị</v>
      </c>
      <c r="J11" s="300" t="s">
        <v>167</v>
      </c>
      <c r="K11" s="419">
        <f>'Thiết bị DL Nen 17--&gt;75'!J25+'Thiết bị DL Nen 17--&gt;75'!K25</f>
        <v>613071.35999999999</v>
      </c>
      <c r="N11" s="232"/>
      <c r="O11" s="232"/>
    </row>
    <row r="12" spans="1:15">
      <c r="A12" s="232"/>
      <c r="B12" s="232"/>
      <c r="C12" s="232"/>
      <c r="D12" s="232"/>
      <c r="E12" s="834"/>
      <c r="F12" s="834"/>
      <c r="G12" s="834"/>
      <c r="H12" s="835"/>
      <c r="I12" s="1293" t="str">
        <f t="shared" si="3"/>
        <v>Dụng cụ</v>
      </c>
      <c r="J12" s="300" t="s">
        <v>168</v>
      </c>
      <c r="K12" s="419">
        <f>'Dụng cụ DL Nen 17--&gt;75'!H20</f>
        <v>28880.82076923077</v>
      </c>
      <c r="N12" s="232"/>
      <c r="O12" s="232"/>
    </row>
    <row r="13" spans="1:15">
      <c r="A13" s="232"/>
      <c r="B13" s="232"/>
      <c r="C13" s="232"/>
      <c r="D13" s="232"/>
      <c r="E13" s="834"/>
      <c r="F13" s="834"/>
      <c r="G13" s="834"/>
      <c r="H13" s="835"/>
      <c r="I13" s="1294" t="str">
        <f t="shared" si="3"/>
        <v>Tổng cộng</v>
      </c>
      <c r="J13" s="1354" t="s">
        <v>35</v>
      </c>
      <c r="K13" s="1252">
        <f>K9+K10+K11+K12</f>
        <v>3236034.8730769227</v>
      </c>
      <c r="N13" s="232"/>
      <c r="O13" s="232"/>
    </row>
    <row r="15" spans="1:15">
      <c r="L15" s="1349">
        <f>SUM(K10:K12)</f>
        <v>887852.1807692307</v>
      </c>
      <c r="M15" s="1355">
        <f>L15/K13</f>
        <v>0.27436421904966468</v>
      </c>
    </row>
  </sheetData>
  <mergeCells count="1">
    <mergeCell ref="A1:K1"/>
  </mergeCells>
  <pageMargins left="0" right="0" top="0" bottom="0" header="0.3"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20"/>
  <sheetViews>
    <sheetView zoomScale="70" zoomScaleNormal="70" workbookViewId="0">
      <selection activeCell="J17" sqref="J17"/>
    </sheetView>
  </sheetViews>
  <sheetFormatPr defaultColWidth="9" defaultRowHeight="15"/>
  <cols>
    <col min="1" max="1" width="5.625" style="36" bestFit="1" customWidth="1"/>
    <col min="2" max="2" width="55.625" style="37" customWidth="1"/>
    <col min="3" max="3" width="10.625" style="36" customWidth="1"/>
    <col min="4" max="4" width="10.25" style="37" customWidth="1"/>
    <col min="5" max="5" width="9.75" style="37" customWidth="1"/>
    <col min="6" max="6" width="11.375" style="97" customWidth="1"/>
    <col min="7" max="7" width="19.75" style="225" customWidth="1"/>
    <col min="8" max="8" width="11.875" style="226" bestFit="1" customWidth="1"/>
    <col min="9" max="9" width="9" style="37" customWidth="1"/>
    <col min="10" max="10" width="9.375" style="37" bestFit="1" customWidth="1"/>
    <col min="11" max="16384" width="9" style="37"/>
  </cols>
  <sheetData>
    <row r="1" spans="1:11" s="12" customFormat="1" ht="15.75">
      <c r="A1" s="1856" t="s">
        <v>75</v>
      </c>
      <c r="B1" s="1856"/>
      <c r="C1" s="1856"/>
      <c r="D1" s="1856"/>
      <c r="E1" s="1856"/>
      <c r="F1" s="1856"/>
      <c r="G1" s="1856"/>
      <c r="H1" s="1856"/>
    </row>
    <row r="2" spans="1:11" s="12" customFormat="1" ht="16.5" thickBot="1">
      <c r="A2" s="30"/>
      <c r="B2" s="5"/>
      <c r="C2" s="30"/>
      <c r="D2" s="5"/>
      <c r="E2" s="5"/>
      <c r="F2" s="95"/>
      <c r="G2" s="222" t="s">
        <v>70</v>
      </c>
      <c r="H2" s="223" t="s">
        <v>69</v>
      </c>
    </row>
    <row r="3" spans="1:11" s="13" customFormat="1" ht="31.5">
      <c r="A3" s="1860" t="s">
        <v>14</v>
      </c>
      <c r="B3" s="1862" t="s">
        <v>2</v>
      </c>
      <c r="C3" s="1862" t="s">
        <v>20</v>
      </c>
      <c r="D3" s="219" t="s">
        <v>98</v>
      </c>
      <c r="E3" s="219" t="s">
        <v>100</v>
      </c>
      <c r="F3" s="220" t="s">
        <v>100</v>
      </c>
      <c r="G3" s="229" t="s">
        <v>994</v>
      </c>
      <c r="H3" s="224" t="s">
        <v>72</v>
      </c>
      <c r="I3" s="13">
        <v>1</v>
      </c>
    </row>
    <row r="4" spans="1:11" s="13" customFormat="1" ht="15.75">
      <c r="A4" s="1861"/>
      <c r="B4" s="1863"/>
      <c r="C4" s="1863"/>
      <c r="D4" s="1352" t="s">
        <v>99</v>
      </c>
      <c r="E4" s="1352" t="s">
        <v>101</v>
      </c>
      <c r="F4" s="221" t="s">
        <v>102</v>
      </c>
      <c r="G4" s="345">
        <v>8</v>
      </c>
      <c r="H4" s="415">
        <f>SUM(H5:H11)</f>
        <v>28880.82076923077</v>
      </c>
    </row>
    <row r="5" spans="1:11" s="19" customFormat="1" ht="15.75">
      <c r="A5" s="34">
        <v>1</v>
      </c>
      <c r="B5" s="35" t="s">
        <v>52</v>
      </c>
      <c r="C5" s="17" t="str">
        <f>Gia_Dcu!C6</f>
        <v>Cái</v>
      </c>
      <c r="D5" s="17">
        <f>Gia_Dcu!D6</f>
        <v>24</v>
      </c>
      <c r="E5" s="18">
        <f>Gia_Dcu!E6</f>
        <v>13500</v>
      </c>
      <c r="F5" s="346">
        <f>Gia_Dcu!F6</f>
        <v>21.634615384615383</v>
      </c>
      <c r="G5" s="1496">
        <v>2.02</v>
      </c>
      <c r="H5" s="416">
        <f t="shared" ref="H5:H10" si="0">$F5*G5</f>
        <v>43.701923076923073</v>
      </c>
      <c r="J5" s="1495"/>
    </row>
    <row r="6" spans="1:11" s="19" customFormat="1" ht="15.75">
      <c r="A6" s="34">
        <v>2</v>
      </c>
      <c r="B6" s="35" t="s">
        <v>53</v>
      </c>
      <c r="C6" s="17" t="str">
        <f>Gia_Dcu!C7</f>
        <v>Cái</v>
      </c>
      <c r="D6" s="17">
        <f>Gia_Dcu!D7</f>
        <v>60</v>
      </c>
      <c r="E6" s="18">
        <f>Gia_Dcu!E7</f>
        <v>1500000</v>
      </c>
      <c r="F6" s="346">
        <f>Gia_Dcu!F7</f>
        <v>961.53846153846155</v>
      </c>
      <c r="G6" s="1496">
        <v>3.3</v>
      </c>
      <c r="H6" s="416">
        <f t="shared" si="0"/>
        <v>3173.0769230769229</v>
      </c>
      <c r="J6" s="1495"/>
    </row>
    <row r="7" spans="1:11" s="19" customFormat="1" ht="15.75">
      <c r="A7" s="34">
        <v>3</v>
      </c>
      <c r="B7" s="35" t="s">
        <v>54</v>
      </c>
      <c r="C7" s="17" t="str">
        <f>Gia_Dcu!C8</f>
        <v>Cái</v>
      </c>
      <c r="D7" s="17">
        <f>Gia_Dcu!D8</f>
        <v>96</v>
      </c>
      <c r="E7" s="18">
        <f>Gia_Dcu!E8</f>
        <v>360000</v>
      </c>
      <c r="F7" s="346">
        <f>Gia_Dcu!F8</f>
        <v>144.23076923076923</v>
      </c>
      <c r="G7" s="1496">
        <v>10</v>
      </c>
      <c r="H7" s="416">
        <f>$F7*G7</f>
        <v>1442.3076923076924</v>
      </c>
      <c r="J7" s="1495"/>
    </row>
    <row r="8" spans="1:11" s="19" customFormat="1" ht="15.75">
      <c r="A8" s="34">
        <v>4</v>
      </c>
      <c r="B8" s="35" t="s">
        <v>27</v>
      </c>
      <c r="C8" s="17" t="str">
        <f>Gia_Dcu!C9</f>
        <v>Cái</v>
      </c>
      <c r="D8" s="17">
        <f>Gia_Dcu!D9</f>
        <v>96</v>
      </c>
      <c r="E8" s="18">
        <f>Gia_Dcu!E9</f>
        <v>754000</v>
      </c>
      <c r="F8" s="346">
        <f>Gia_Dcu!F9</f>
        <v>302.08333333333337</v>
      </c>
      <c r="G8" s="1496">
        <v>10</v>
      </c>
      <c r="H8" s="416">
        <f t="shared" si="0"/>
        <v>3020.8333333333339</v>
      </c>
      <c r="J8" s="1495"/>
    </row>
    <row r="9" spans="1:11" s="19" customFormat="1" ht="15.75">
      <c r="A9" s="34">
        <v>5</v>
      </c>
      <c r="B9" s="35" t="s">
        <v>55</v>
      </c>
      <c r="C9" s="17" t="str">
        <f>Gia_Dcu!C10</f>
        <v>Cái</v>
      </c>
      <c r="D9" s="17">
        <f>Gia_Dcu!D10</f>
        <v>96</v>
      </c>
      <c r="E9" s="18">
        <f>Gia_Dcu!E10</f>
        <v>870000</v>
      </c>
      <c r="F9" s="346">
        <f>Gia_Dcu!F10</f>
        <v>348.55769230769232</v>
      </c>
      <c r="G9" s="1496">
        <v>2.5</v>
      </c>
      <c r="H9" s="416">
        <f t="shared" si="0"/>
        <v>871.39423076923083</v>
      </c>
      <c r="J9" s="1495"/>
    </row>
    <row r="10" spans="1:11" s="19" customFormat="1" ht="15.75">
      <c r="A10" s="34">
        <v>6</v>
      </c>
      <c r="B10" s="35" t="s">
        <v>56</v>
      </c>
      <c r="C10" s="17" t="str">
        <f>Gia_Dcu!C11</f>
        <v>Cái</v>
      </c>
      <c r="D10" s="17">
        <f>Gia_Dcu!D11</f>
        <v>24</v>
      </c>
      <c r="E10" s="18">
        <f>Gia_Dcu!E11</f>
        <v>65000</v>
      </c>
      <c r="F10" s="346">
        <f>Gia_Dcu!F11</f>
        <v>104.16666666666667</v>
      </c>
      <c r="G10" s="1496">
        <v>10</v>
      </c>
      <c r="H10" s="416">
        <f t="shared" si="0"/>
        <v>1041.6666666666667</v>
      </c>
      <c r="J10" s="1495"/>
    </row>
    <row r="11" spans="1:11" s="19" customFormat="1" ht="15.75">
      <c r="A11" s="51">
        <v>7</v>
      </c>
      <c r="B11" s="52" t="s">
        <v>58</v>
      </c>
      <c r="C11" s="53" t="s">
        <v>147</v>
      </c>
      <c r="D11" s="1403">
        <v>1</v>
      </c>
      <c r="E11" s="54">
        <f>Gia_Dcu!E12</f>
        <v>1686</v>
      </c>
      <c r="F11" s="85">
        <f>Gia_Dcu!F12</f>
        <v>13488</v>
      </c>
      <c r="G11" s="1497">
        <v>1.43</v>
      </c>
      <c r="H11" s="417">
        <f>$F11*G11*D11</f>
        <v>19287.84</v>
      </c>
      <c r="J11" s="1495"/>
    </row>
    <row r="13" spans="1:11" s="12" customFormat="1" ht="15.75">
      <c r="A13" s="1351" t="s">
        <v>14</v>
      </c>
      <c r="B13" s="1351" t="s">
        <v>109</v>
      </c>
      <c r="C13" s="1351" t="s">
        <v>20</v>
      </c>
      <c r="D13" s="1351" t="s">
        <v>110</v>
      </c>
      <c r="E13" s="1351" t="s">
        <v>28</v>
      </c>
      <c r="F13" s="1351" t="s">
        <v>19</v>
      </c>
      <c r="G13" s="435"/>
      <c r="H13" s="1506"/>
    </row>
    <row r="14" spans="1:11" ht="15.75">
      <c r="A14" s="1148"/>
      <c r="B14" s="413" t="str">
        <f>'Nhân công DL Nen 17-&gt;75'!B3</f>
        <v xml:space="preserve"> Xây dựng dữ liệu không gian đất đai nền</v>
      </c>
      <c r="C14" s="412"/>
      <c r="D14" s="814"/>
      <c r="E14" s="1176"/>
      <c r="F14" s="917"/>
      <c r="G14" s="1255"/>
      <c r="H14" s="238"/>
      <c r="J14" s="410"/>
    </row>
    <row r="15" spans="1:11" ht="15.75">
      <c r="A15" s="1149">
        <f>'Nhân công DL Nen 17-&gt;75'!A4</f>
        <v>1</v>
      </c>
      <c r="B15" s="391" t="str">
        <f>'Nhân công DL Nen 17-&gt;75'!B4</f>
        <v xml:space="preserve"> Xây dựng dữ liệu không gian đất đai nền</v>
      </c>
      <c r="C15" s="236"/>
      <c r="D15" s="237"/>
      <c r="E15" s="344"/>
      <c r="F15" s="918"/>
      <c r="G15" s="1255"/>
      <c r="H15" s="238"/>
      <c r="I15" s="1510"/>
      <c r="J15" s="1511"/>
      <c r="K15" s="1510"/>
    </row>
    <row r="16" spans="1:11" ht="16.5">
      <c r="A16" s="1149" t="str">
        <f>'Nhân công DL Nen 17-&gt;75'!A5</f>
        <v>1.1</v>
      </c>
      <c r="B16" s="391" t="str">
        <f>'Nhân công DL Nen 17-&gt;75'!B5</f>
        <v>Tách, lọc và chuẩn hóa các lớp đối tượng không gian đất đai nền</v>
      </c>
      <c r="C16" s="236" t="str">
        <f>'Nhân công DL Nen 17-&gt;75'!C5</f>
        <v>Bộ dữ liệu</v>
      </c>
      <c r="D16" s="237">
        <f>'Nhân công DL Nen 17-&gt;75'!E5</f>
        <v>6</v>
      </c>
      <c r="E16" s="344">
        <v>0.59409999999999996</v>
      </c>
      <c r="F16" s="918">
        <f t="shared" ref="F16:F19" si="1">E16*$H$4</f>
        <v>17158.095619</v>
      </c>
      <c r="G16" s="1255">
        <f>E16*8000</f>
        <v>4752.7999999999993</v>
      </c>
      <c r="H16" s="238"/>
      <c r="I16" s="1510"/>
      <c r="J16" s="1499"/>
      <c r="K16" s="1510"/>
    </row>
    <row r="17" spans="1:11" ht="31.5">
      <c r="A17" s="1149" t="str">
        <f>'Nhân công DL Nen 17-&gt;75'!A6</f>
        <v>1.2</v>
      </c>
      <c r="B17" s="391" t="str">
        <f>'Nhân công DL Nen 17-&gt;75'!B6</f>
        <v>Chuyển đổi các lớp đối tượng không gian đất đai nền từ tệp (File) bản đồ số vào CSDL</v>
      </c>
      <c r="C17" s="236" t="str">
        <f>'Nhân công DL Nen 17-&gt;75'!C6</f>
        <v>Bộ dữ liệu</v>
      </c>
      <c r="D17" s="237">
        <f>'Nhân công DL Nen 17-&gt;75'!E6</f>
        <v>2</v>
      </c>
      <c r="E17" s="344">
        <v>0.15840000000000001</v>
      </c>
      <c r="F17" s="918">
        <f t="shared" si="1"/>
        <v>4574.7220098461539</v>
      </c>
      <c r="G17" s="1255">
        <f t="shared" ref="G17:G19" si="2">E17*8000</f>
        <v>1267.2</v>
      </c>
      <c r="H17" s="238"/>
      <c r="I17" s="1510"/>
      <c r="J17" s="1499"/>
      <c r="K17" s="1510"/>
    </row>
    <row r="18" spans="1:11" ht="15.75">
      <c r="A18" s="1149">
        <f>'Nhân công DL Nen 17-&gt;75'!A7</f>
        <v>2</v>
      </c>
      <c r="B18" s="391" t="str">
        <f>'Nhân công DL Nen 17-&gt;75'!B7</f>
        <v xml:space="preserve">Tích hợp dữ liệu không gian đất đai nền </v>
      </c>
      <c r="C18" s="236"/>
      <c r="D18" s="237"/>
      <c r="E18" s="344"/>
      <c r="F18" s="918"/>
      <c r="G18" s="1255">
        <f t="shared" si="2"/>
        <v>0</v>
      </c>
      <c r="H18" s="238"/>
      <c r="I18" s="1510"/>
      <c r="J18" s="1512"/>
      <c r="K18" s="1510"/>
    </row>
    <row r="19" spans="1:11" ht="31.5">
      <c r="A19" s="1149">
        <f>'Nhân công DL Nen 17-&gt;75'!A8</f>
        <v>0</v>
      </c>
      <c r="B19" s="391" t="str">
        <f>'Nhân công DL Nen 17-&gt;75'!B8</f>
        <v>Tích hợp dữ liệu không gian đất đai nền vào CSDL đất đai để quản lý, vận hành, khai thác sử dụng</v>
      </c>
      <c r="C19" s="236" t="str">
        <f>'Nhân công DL Nen 17-&gt;75'!C8</f>
        <v>Bộ dữ liệu</v>
      </c>
      <c r="D19" s="237">
        <f>'Nhân công DL Nen 17-&gt;75'!E8</f>
        <v>3</v>
      </c>
      <c r="E19" s="344">
        <v>0.2475</v>
      </c>
      <c r="F19" s="918">
        <f t="shared" si="1"/>
        <v>7148.0031403846151</v>
      </c>
      <c r="G19" s="1255">
        <f t="shared" si="2"/>
        <v>1980</v>
      </c>
      <c r="H19" s="238"/>
      <c r="I19" s="1510"/>
      <c r="J19" s="1499"/>
      <c r="K19" s="1510"/>
    </row>
    <row r="20" spans="1:11">
      <c r="A20" s="242"/>
      <c r="B20" s="12"/>
      <c r="C20" s="242"/>
      <c r="D20" s="1173">
        <f>SUM(D14:D19)</f>
        <v>11</v>
      </c>
      <c r="E20" s="1256">
        <f>SUM(E14:E19)</f>
        <v>1</v>
      </c>
      <c r="F20" s="1059">
        <f>SUM(F14:F19)</f>
        <v>28880.82076923077</v>
      </c>
      <c r="G20" s="1060"/>
      <c r="H20" s="244">
        <f>F20*I3</f>
        <v>28880.82076923077</v>
      </c>
      <c r="I20" s="1510"/>
      <c r="J20" s="1513"/>
      <c r="K20" s="1510"/>
    </row>
  </sheetData>
  <mergeCells count="4">
    <mergeCell ref="A1:H1"/>
    <mergeCell ref="A3:A4"/>
    <mergeCell ref="B3:B4"/>
    <mergeCell ref="C3:C4"/>
  </mergeCells>
  <printOptions horizontalCentered="1"/>
  <pageMargins left="0.5" right="0.5" top="0.5" bottom="0.5" header="0.5" footer="0.25"/>
  <pageSetup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30"/>
  <sheetViews>
    <sheetView zoomScale="55" zoomScaleNormal="55" workbookViewId="0">
      <selection activeCell="J17" sqref="J17"/>
    </sheetView>
  </sheetViews>
  <sheetFormatPr defaultColWidth="9" defaultRowHeight="15.75"/>
  <cols>
    <col min="1" max="1" width="7.875" style="334" customWidth="1"/>
    <col min="2" max="2" width="48.625" style="245" customWidth="1"/>
    <col min="3" max="3" width="5.75" style="296" bestFit="1" customWidth="1"/>
    <col min="4" max="4" width="8.625" style="245" customWidth="1"/>
    <col min="5" max="5" width="9.25" style="245" customWidth="1"/>
    <col min="6" max="6" width="14.375" style="297" customWidth="1"/>
    <col min="7" max="7" width="10.875" style="297" customWidth="1"/>
    <col min="8" max="8" width="9.875" style="298" bestFit="1" customWidth="1"/>
    <col min="9" max="9" width="14.25" style="286" customWidth="1"/>
    <col min="10" max="10" width="16.75" style="442" bestFit="1" customWidth="1"/>
    <col min="11" max="11" width="17.75" style="273" bestFit="1" customWidth="1"/>
    <col min="12" max="12" width="9" style="245"/>
    <col min="13" max="13" width="11.375" style="245" bestFit="1" customWidth="1"/>
    <col min="14" max="14" width="13" style="245" bestFit="1" customWidth="1"/>
    <col min="15" max="15" width="25.125" style="245" bestFit="1" customWidth="1"/>
    <col min="16" max="16384" width="9" style="245"/>
  </cols>
  <sheetData>
    <row r="1" spans="1:15">
      <c r="A1" s="1864" t="s">
        <v>22</v>
      </c>
      <c r="B1" s="1864"/>
      <c r="C1" s="1864"/>
      <c r="D1" s="1864"/>
      <c r="E1" s="1864"/>
      <c r="F1" s="1864"/>
      <c r="G1" s="1864"/>
      <c r="H1" s="1864"/>
      <c r="I1" s="1864"/>
    </row>
    <row r="2" spans="1:15" ht="16.5" thickBot="1">
      <c r="A2" s="323"/>
      <c r="B2" s="247"/>
      <c r="C2" s="246"/>
      <c r="D2" s="247"/>
      <c r="E2" s="247"/>
      <c r="F2" s="248"/>
      <c r="G2" s="249"/>
      <c r="H2" s="250" t="s">
        <v>70</v>
      </c>
      <c r="I2" s="251" t="s">
        <v>69</v>
      </c>
    </row>
    <row r="3" spans="1:15" s="257" customFormat="1" ht="63">
      <c r="A3" s="1417" t="s">
        <v>14</v>
      </c>
      <c r="B3" s="253" t="s">
        <v>16</v>
      </c>
      <c r="C3" s="253" t="s">
        <v>20</v>
      </c>
      <c r="D3" s="253" t="s">
        <v>4</v>
      </c>
      <c r="E3" s="253" t="s">
        <v>5</v>
      </c>
      <c r="F3" s="254" t="s">
        <v>18</v>
      </c>
      <c r="G3" s="254" t="s">
        <v>0</v>
      </c>
      <c r="H3" s="1418" t="s">
        <v>994</v>
      </c>
      <c r="I3" s="1295" t="s">
        <v>72</v>
      </c>
      <c r="J3" s="256" t="s">
        <v>164</v>
      </c>
      <c r="K3" s="256" t="s">
        <v>165</v>
      </c>
      <c r="L3" s="257">
        <v>1</v>
      </c>
      <c r="N3" s="1411" t="s">
        <v>991</v>
      </c>
    </row>
    <row r="4" spans="1:15">
      <c r="A4" s="1296"/>
      <c r="B4" s="554" t="str">
        <f>'Nhân công DL Nen 17-&gt;75'!B3</f>
        <v xml:space="preserve"> Xây dựng dữ liệu không gian đất đai nền</v>
      </c>
      <c r="C4" s="280"/>
      <c r="D4" s="280"/>
      <c r="E4" s="555"/>
      <c r="F4" s="1170"/>
      <c r="G4" s="1171"/>
      <c r="H4" s="1305"/>
      <c r="I4" s="1172"/>
      <c r="J4" s="343"/>
      <c r="K4" s="349"/>
      <c r="L4" s="350"/>
      <c r="N4" s="257"/>
    </row>
    <row r="5" spans="1:15">
      <c r="A5" s="1167">
        <f>'Nhân công DL Nen 17-&gt;75'!A4</f>
        <v>1</v>
      </c>
      <c r="B5" s="1168" t="str">
        <f>'Nhân công DL Nen 17-&gt;75'!B4</f>
        <v xml:space="preserve"> Xây dựng dữ liệu không gian đất đai nền</v>
      </c>
      <c r="C5" s="280"/>
      <c r="D5" s="280"/>
      <c r="E5" s="555"/>
      <c r="F5" s="1170"/>
      <c r="G5" s="1171"/>
      <c r="H5" s="1305"/>
      <c r="I5" s="1172"/>
      <c r="J5" s="343"/>
      <c r="K5" s="349"/>
      <c r="L5" s="350"/>
      <c r="N5" s="257">
        <v>4</v>
      </c>
    </row>
    <row r="6" spans="1:15" s="257" customFormat="1" ht="28.5" customHeight="1">
      <c r="A6" s="1167" t="str">
        <f>'Nhân công DL Nen 17-&gt;75'!A5</f>
        <v>1.1</v>
      </c>
      <c r="B6" s="1168" t="str">
        <f>'Nhân công DL Nen 17-&gt;75'!B5</f>
        <v>Tách, lọc và chuẩn hóa các lớp đối tượng không gian đất đai nền</v>
      </c>
      <c r="C6" s="275"/>
      <c r="D6" s="275"/>
      <c r="E6" s="275"/>
      <c r="F6" s="553"/>
      <c r="G6" s="553"/>
      <c r="H6" s="1306"/>
      <c r="I6" s="1169">
        <f>SUM(I7:I9)</f>
        <v>302640</v>
      </c>
      <c r="J6" s="1159">
        <f>I6/L3</f>
        <v>302640</v>
      </c>
      <c r="K6" s="1159"/>
    </row>
    <row r="7" spans="1:15">
      <c r="A7" s="1167"/>
      <c r="B7" s="281" t="s">
        <v>73</v>
      </c>
      <c r="C7" s="280" t="s">
        <v>130</v>
      </c>
      <c r="D7" s="280">
        <f>Gia_Tbi!$D$4</f>
        <v>0.4</v>
      </c>
      <c r="E7" s="280">
        <v>5</v>
      </c>
      <c r="F7" s="1170">
        <f>Gia_Tbi!$F$4</f>
        <v>10000000</v>
      </c>
      <c r="G7" s="1171">
        <f>Gia_Tbi!$G$4</f>
        <v>4000</v>
      </c>
      <c r="H7" s="1305">
        <v>4.8</v>
      </c>
      <c r="I7" s="1172">
        <f>$G7*H7</f>
        <v>19200</v>
      </c>
      <c r="J7" s="343"/>
      <c r="K7" s="342"/>
      <c r="O7" s="1508">
        <f>ROUND(H7,2)</f>
        <v>4.8</v>
      </c>
    </row>
    <row r="8" spans="1:15">
      <c r="A8" s="1167"/>
      <c r="B8" s="281" t="str">
        <f>Gia_Phanmem!B7</f>
        <v xml:space="preserve">Phần mềm biên tập bản đồ </v>
      </c>
      <c r="C8" s="280" t="str">
        <f>Gia_Phanmem!C7</f>
        <v>Bộ</v>
      </c>
      <c r="D8" s="280"/>
      <c r="E8" s="280">
        <f>Gia_Phanmem!E7</f>
        <v>5</v>
      </c>
      <c r="F8" s="1413">
        <f>Gia_Phanmem!$F$7</f>
        <v>147000000</v>
      </c>
      <c r="G8" s="1413">
        <f>Gia_Phanmem!G7</f>
        <v>58800</v>
      </c>
      <c r="H8" s="1305">
        <v>4.8</v>
      </c>
      <c r="I8" s="1172">
        <f t="shared" ref="I8" si="0">$G8*H8</f>
        <v>282240</v>
      </c>
      <c r="J8" s="343"/>
      <c r="K8" s="342"/>
      <c r="O8" s="1508">
        <f t="shared" ref="O8:O22" si="1">ROUND(H8,2)</f>
        <v>4.8</v>
      </c>
    </row>
    <row r="9" spans="1:15">
      <c r="A9" s="1167"/>
      <c r="B9" s="281" t="s">
        <v>24</v>
      </c>
      <c r="C9" s="280" t="s">
        <v>130</v>
      </c>
      <c r="D9" s="280">
        <f>Gia_Tbi!$D$6</f>
        <v>2.2000000000000002</v>
      </c>
      <c r="E9" s="280">
        <v>8</v>
      </c>
      <c r="F9" s="1170">
        <f>Gia_Tbi!$F$6</f>
        <v>12000000</v>
      </c>
      <c r="G9" s="1171">
        <f>Gia_Tbi!$G$6</f>
        <v>3000</v>
      </c>
      <c r="H9" s="1305">
        <v>0.4</v>
      </c>
      <c r="I9" s="1172">
        <f>$G9*H9</f>
        <v>1200</v>
      </c>
      <c r="J9" s="343"/>
      <c r="K9" s="342"/>
      <c r="O9" s="1508">
        <f t="shared" si="1"/>
        <v>0.4</v>
      </c>
    </row>
    <row r="10" spans="1:15">
      <c r="A10" s="1167"/>
      <c r="B10" s="281" t="s">
        <v>8</v>
      </c>
      <c r="C10" s="280" t="s">
        <v>147</v>
      </c>
      <c r="D10" s="280"/>
      <c r="E10" s="555"/>
      <c r="F10" s="1170">
        <f>Gia_Tbi!$F$13</f>
        <v>1686</v>
      </c>
      <c r="G10" s="1171">
        <f>Gia_Tbi!$G$13</f>
        <v>13488</v>
      </c>
      <c r="H10" s="1305">
        <v>2.8</v>
      </c>
      <c r="I10" s="1172">
        <f>$G10*H10</f>
        <v>37766.399999999994</v>
      </c>
      <c r="J10" s="343"/>
      <c r="K10" s="349">
        <f>I10/L3</f>
        <v>37766.399999999994</v>
      </c>
      <c r="L10" s="350"/>
      <c r="O10" s="1508">
        <f t="shared" si="1"/>
        <v>2.8</v>
      </c>
    </row>
    <row r="11" spans="1:15" s="257" customFormat="1" ht="36" customHeight="1">
      <c r="A11" s="1167" t="str">
        <f>'Nhân công DL Nen 17-&gt;75'!A6</f>
        <v>1.2</v>
      </c>
      <c r="B11" s="1168" t="str">
        <f>'Nhân công DL Nen 17-&gt;75'!B6</f>
        <v>Chuyển đổi các lớp đối tượng không gian đất đai nền từ tệp (File) bản đồ số vào CSDL</v>
      </c>
      <c r="C11" s="275"/>
      <c r="D11" s="275"/>
      <c r="E11" s="275"/>
      <c r="F11" s="553"/>
      <c r="G11" s="553"/>
      <c r="H11" s="1306"/>
      <c r="I11" s="1169">
        <f>SUM(I12:I14)</f>
        <v>80714</v>
      </c>
      <c r="J11" s="1159">
        <f>I11/L3</f>
        <v>80714</v>
      </c>
      <c r="K11" s="1159"/>
      <c r="O11" s="1508">
        <f t="shared" si="1"/>
        <v>0</v>
      </c>
    </row>
    <row r="12" spans="1:15">
      <c r="A12" s="1167"/>
      <c r="B12" s="281" t="s">
        <v>73</v>
      </c>
      <c r="C12" s="280" t="s">
        <v>130</v>
      </c>
      <c r="D12" s="280">
        <f>Gia_Tbi!$D$4</f>
        <v>0.4</v>
      </c>
      <c r="E12" s="280">
        <v>5</v>
      </c>
      <c r="F12" s="1415">
        <f>Gia_Tbi!$F$4</f>
        <v>10000000</v>
      </c>
      <c r="G12" s="1416">
        <f>Gia_Tbi!$G$4</f>
        <v>4000</v>
      </c>
      <c r="H12" s="1305">
        <v>1.28</v>
      </c>
      <c r="I12" s="1172">
        <f>$G12*H12</f>
        <v>5120</v>
      </c>
      <c r="J12" s="343"/>
      <c r="K12" s="342"/>
      <c r="O12" s="1508">
        <f t="shared" si="1"/>
        <v>1.28</v>
      </c>
    </row>
    <row r="13" spans="1:15">
      <c r="A13" s="1167"/>
      <c r="B13" s="281" t="str">
        <f t="shared" ref="B13:G13" si="2">B8</f>
        <v xml:space="preserve">Phần mềm biên tập bản đồ </v>
      </c>
      <c r="C13" s="280" t="str">
        <f t="shared" si="2"/>
        <v>Bộ</v>
      </c>
      <c r="D13" s="280"/>
      <c r="E13" s="280">
        <f t="shared" si="2"/>
        <v>5</v>
      </c>
      <c r="F13" s="1413">
        <f>Gia_Phanmem!$F$7</f>
        <v>147000000</v>
      </c>
      <c r="G13" s="1413">
        <f t="shared" si="2"/>
        <v>58800</v>
      </c>
      <c r="H13" s="1305">
        <v>1.28</v>
      </c>
      <c r="I13" s="1172">
        <f t="shared" ref="I13" si="3">$G13*H13</f>
        <v>75264</v>
      </c>
      <c r="J13" s="343"/>
      <c r="K13" s="342"/>
      <c r="O13" s="1508">
        <f t="shared" si="1"/>
        <v>1.28</v>
      </c>
    </row>
    <row r="14" spans="1:15">
      <c r="A14" s="1167"/>
      <c r="B14" s="281" t="s">
        <v>24</v>
      </c>
      <c r="C14" s="280" t="s">
        <v>130</v>
      </c>
      <c r="D14" s="280">
        <f>Gia_Tbi!$D$6</f>
        <v>2.2000000000000002</v>
      </c>
      <c r="E14" s="280">
        <v>8</v>
      </c>
      <c r="F14" s="1170">
        <f>Gia_Tbi!$F$6</f>
        <v>12000000</v>
      </c>
      <c r="G14" s="1171">
        <f>Gia_Tbi!$G$6</f>
        <v>3000</v>
      </c>
      <c r="H14" s="1305">
        <v>0.11</v>
      </c>
      <c r="I14" s="1172">
        <f>$G14*H14</f>
        <v>330</v>
      </c>
      <c r="J14" s="343"/>
      <c r="K14" s="342"/>
      <c r="O14" s="1508">
        <f t="shared" si="1"/>
        <v>0.11</v>
      </c>
    </row>
    <row r="15" spans="1:15">
      <c r="A15" s="1167"/>
      <c r="B15" s="281" t="s">
        <v>8</v>
      </c>
      <c r="C15" s="280" t="s">
        <v>147</v>
      </c>
      <c r="D15" s="280"/>
      <c r="E15" s="555"/>
      <c r="F15" s="1170">
        <f>Gia_Tbi!$F$13</f>
        <v>1686</v>
      </c>
      <c r="G15" s="1171">
        <f>Gia_Tbi!$G$13</f>
        <v>13488</v>
      </c>
      <c r="H15" s="1305">
        <v>0.75</v>
      </c>
      <c r="I15" s="1172">
        <f>$G15*H15</f>
        <v>10116</v>
      </c>
      <c r="J15" s="343"/>
      <c r="K15" s="349">
        <f>I15/L3</f>
        <v>10116</v>
      </c>
      <c r="L15" s="350"/>
      <c r="O15" s="1508">
        <f t="shared" si="1"/>
        <v>0.75</v>
      </c>
    </row>
    <row r="16" spans="1:15">
      <c r="A16" s="1167">
        <f>'Nhân công DL Nen 17-&gt;75'!A7</f>
        <v>2</v>
      </c>
      <c r="B16" s="281" t="str">
        <f>'Nhân công DL Nen 17-&gt;75'!B7</f>
        <v xml:space="preserve">Tích hợp dữ liệu không gian đất đai nền </v>
      </c>
      <c r="C16" s="280"/>
      <c r="D16" s="280"/>
      <c r="E16" s="555"/>
      <c r="F16" s="1170"/>
      <c r="G16" s="1171"/>
      <c r="H16" s="1305"/>
      <c r="I16" s="1172">
        <f>F16</f>
        <v>0</v>
      </c>
      <c r="J16" s="343"/>
      <c r="K16" s="349"/>
      <c r="L16" s="350"/>
      <c r="O16" s="1508">
        <f t="shared" si="1"/>
        <v>0</v>
      </c>
    </row>
    <row r="17" spans="1:15" s="257" customFormat="1" ht="31.5">
      <c r="A17" s="1414">
        <f>'Nhân công DL Nen 17-&gt;75'!A8</f>
        <v>0</v>
      </c>
      <c r="B17" s="1168" t="str">
        <f>'Nhân công DL Nen 17-&gt;75'!B8</f>
        <v>Tích hợp dữ liệu không gian đất đai nền vào CSDL đất đai để quản lý, vận hành, khai thác sử dụng</v>
      </c>
      <c r="C17" s="275"/>
      <c r="D17" s="275"/>
      <c r="E17" s="275"/>
      <c r="F17" s="553"/>
      <c r="G17" s="553"/>
      <c r="H17" s="1306"/>
      <c r="I17" s="1169">
        <f>SUM(I18:I21)</f>
        <v>159310</v>
      </c>
      <c r="J17" s="1159">
        <f>I17/L3</f>
        <v>159310</v>
      </c>
      <c r="K17" s="1159"/>
      <c r="O17" s="1508">
        <f t="shared" si="1"/>
        <v>0</v>
      </c>
    </row>
    <row r="18" spans="1:15">
      <c r="A18" s="1167"/>
      <c r="B18" s="281" t="s">
        <v>73</v>
      </c>
      <c r="C18" s="280" t="s">
        <v>130</v>
      </c>
      <c r="D18" s="280">
        <f>Gia_Tbi!$D$4</f>
        <v>0.4</v>
      </c>
      <c r="E18" s="280">
        <v>5</v>
      </c>
      <c r="F18" s="1413">
        <f>Gia_Tbi!$F$4</f>
        <v>10000000</v>
      </c>
      <c r="G18" s="1413">
        <f>Gia_Tbi!$G$4</f>
        <v>4000</v>
      </c>
      <c r="H18" s="1305">
        <v>2</v>
      </c>
      <c r="I18" s="1172">
        <f>$G18*H18</f>
        <v>8000</v>
      </c>
      <c r="J18" s="343"/>
      <c r="K18" s="342"/>
      <c r="O18" s="1508">
        <f t="shared" si="1"/>
        <v>2</v>
      </c>
    </row>
    <row r="19" spans="1:15">
      <c r="A19" s="1167"/>
      <c r="B19" s="281" t="str">
        <f>Gia_Tbi!B10</f>
        <v>Máy chủ</v>
      </c>
      <c r="C19" s="280" t="str">
        <f>Gia_Tbi!C10</f>
        <v>Cái</v>
      </c>
      <c r="D19" s="280">
        <f>Gia_Tbi!D10</f>
        <v>1</v>
      </c>
      <c r="E19" s="280">
        <f>Gia_Tbi!E10</f>
        <v>10</v>
      </c>
      <c r="F19" s="1413">
        <f>Gia_Tbi!F10</f>
        <v>80000000</v>
      </c>
      <c r="G19" s="1413">
        <f>Gia_Tbi!G10</f>
        <v>16000</v>
      </c>
      <c r="H19" s="1305">
        <v>0.5</v>
      </c>
      <c r="I19" s="1172">
        <f t="shared" ref="I19:I20" si="4">$G19*H19</f>
        <v>8000</v>
      </c>
      <c r="J19" s="343"/>
      <c r="K19" s="342"/>
      <c r="O19" s="1508">
        <f t="shared" si="1"/>
        <v>0.5</v>
      </c>
    </row>
    <row r="20" spans="1:15">
      <c r="A20" s="1167"/>
      <c r="B20" s="281" t="str">
        <f>Gia_Phanmem!B6</f>
        <v>Hệ quản trị dữ liệu không gian</v>
      </c>
      <c r="C20" s="280" t="str">
        <f>Gia_Phanmem!C6</f>
        <v>Bộ</v>
      </c>
      <c r="D20" s="280"/>
      <c r="E20" s="280">
        <f>Gia_Phanmem!E6</f>
        <v>10</v>
      </c>
      <c r="F20" s="1413">
        <f>Gia_Phanmem!$F$6</f>
        <v>357000000</v>
      </c>
      <c r="G20" s="1413">
        <f>Gia_Phanmem!G6</f>
        <v>71400</v>
      </c>
      <c r="H20" s="1305">
        <v>2</v>
      </c>
      <c r="I20" s="1172">
        <f t="shared" si="4"/>
        <v>142800</v>
      </c>
      <c r="J20" s="343"/>
      <c r="K20" s="342"/>
      <c r="O20" s="1508">
        <f t="shared" si="1"/>
        <v>2</v>
      </c>
    </row>
    <row r="21" spans="1:15">
      <c r="A21" s="1167"/>
      <c r="B21" s="281" t="s">
        <v>24</v>
      </c>
      <c r="C21" s="280" t="s">
        <v>130</v>
      </c>
      <c r="D21" s="280">
        <f>Gia_Tbi!$D$6</f>
        <v>2.2000000000000002</v>
      </c>
      <c r="E21" s="280">
        <v>8</v>
      </c>
      <c r="F21" s="1413">
        <f>Gia_Tbi!$F$6</f>
        <v>12000000</v>
      </c>
      <c r="G21" s="1413">
        <f>Gia_Tbi!$G$6</f>
        <v>3000</v>
      </c>
      <c r="H21" s="1305">
        <v>0.17</v>
      </c>
      <c r="I21" s="1172">
        <f>$G21*H21</f>
        <v>510.00000000000006</v>
      </c>
      <c r="J21" s="343"/>
      <c r="K21" s="342"/>
      <c r="O21" s="1508">
        <f t="shared" si="1"/>
        <v>0.17</v>
      </c>
    </row>
    <row r="22" spans="1:15" ht="16.5" thickBot="1">
      <c r="A22" s="1297"/>
      <c r="B22" s="1298" t="s">
        <v>8</v>
      </c>
      <c r="C22" s="1299" t="s">
        <v>147</v>
      </c>
      <c r="D22" s="1299"/>
      <c r="E22" s="1300"/>
      <c r="F22" s="1301">
        <f>Gia_Tbi!$F$13</f>
        <v>1686</v>
      </c>
      <c r="G22" s="1302">
        <f>Gia_Tbi!$G$13</f>
        <v>13488</v>
      </c>
      <c r="H22" s="1307">
        <v>1.67</v>
      </c>
      <c r="I22" s="1303">
        <f>$G22*H22</f>
        <v>22524.959999999999</v>
      </c>
      <c r="J22" s="343"/>
      <c r="K22" s="349">
        <f>I22/L3</f>
        <v>22524.959999999999</v>
      </c>
      <c r="L22" s="350"/>
      <c r="N22" s="1419"/>
      <c r="O22" s="1508">
        <f t="shared" si="1"/>
        <v>1.67</v>
      </c>
    </row>
    <row r="23" spans="1:15">
      <c r="N23" s="1419"/>
      <c r="O23" s="1419"/>
    </row>
    <row r="24" spans="1:15">
      <c r="J24" s="1251">
        <f>SUM(J4:J22)</f>
        <v>542664</v>
      </c>
      <c r="K24" s="1250">
        <f>K10+K15+K22</f>
        <v>70407.359999999986</v>
      </c>
      <c r="N24" s="1423"/>
      <c r="O24" s="1424"/>
    </row>
    <row r="25" spans="1:15" ht="18">
      <c r="B25" s="1427"/>
      <c r="C25" s="1428"/>
      <c r="D25" s="1427"/>
      <c r="E25" s="1427"/>
      <c r="F25" s="1429"/>
      <c r="J25" s="343">
        <f>J24*L3</f>
        <v>542664</v>
      </c>
      <c r="K25" s="342">
        <f>K24*L3</f>
        <v>70407.359999999986</v>
      </c>
      <c r="N25" s="1421"/>
      <c r="O25" s="1425"/>
    </row>
    <row r="26" spans="1:15" ht="18">
      <c r="B26" s="1427"/>
      <c r="C26" s="1428"/>
      <c r="D26" s="1427"/>
      <c r="E26" s="1427"/>
      <c r="F26" s="1430"/>
    </row>
    <row r="27" spans="1:15" ht="18">
      <c r="B27" s="1427"/>
      <c r="C27" s="1428"/>
      <c r="D27" s="1427"/>
      <c r="E27" s="1427"/>
      <c r="F27" s="1429"/>
    </row>
    <row r="28" spans="1:15" ht="18">
      <c r="B28" s="1427"/>
      <c r="C28" s="1428"/>
      <c r="D28" s="1427"/>
      <c r="E28" s="1427"/>
      <c r="F28" s="1429"/>
    </row>
    <row r="29" spans="1:15" ht="18">
      <c r="B29" s="1427"/>
      <c r="C29" s="1428"/>
      <c r="D29" s="1427"/>
      <c r="E29" s="1427"/>
      <c r="F29" s="1431"/>
    </row>
    <row r="30" spans="1:15" ht="18">
      <c r="B30" s="1427"/>
      <c r="C30" s="1428"/>
      <c r="D30" s="1427"/>
      <c r="E30" s="1427"/>
      <c r="F30" s="1429"/>
    </row>
  </sheetData>
  <mergeCells count="1">
    <mergeCell ref="A1:I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25"/>
  <sheetViews>
    <sheetView topLeftCell="A4" zoomScale="85" zoomScaleNormal="85" workbookViewId="0">
      <selection activeCell="J17" sqref="J17"/>
    </sheetView>
  </sheetViews>
  <sheetFormatPr defaultColWidth="9" defaultRowHeight="15"/>
  <cols>
    <col min="1" max="1" width="7.875" style="242" customWidth="1"/>
    <col min="2" max="2" width="52" style="12" customWidth="1"/>
    <col min="3" max="3" width="9.375" style="242" customWidth="1"/>
    <col min="4" max="4" width="8.375" style="242" customWidth="1"/>
    <col min="5" max="5" width="12.75" style="12" customWidth="1"/>
    <col min="6" max="6" width="13.625" style="12" customWidth="1"/>
    <col min="7" max="7" width="14.625" style="1290" bestFit="1" customWidth="1"/>
    <col min="8" max="8" width="9" style="69" customWidth="1"/>
    <col min="9" max="9" width="14.25" style="244" customWidth="1"/>
    <col min="10" max="10" width="18.25" style="12" bestFit="1" customWidth="1"/>
    <col min="11" max="16384" width="9" style="12"/>
  </cols>
  <sheetData>
    <row r="1" spans="1:11" ht="15.75">
      <c r="A1" s="1856" t="s">
        <v>88</v>
      </c>
      <c r="B1" s="1856"/>
      <c r="C1" s="1856"/>
      <c r="D1" s="1856"/>
      <c r="E1" s="1856"/>
      <c r="F1" s="1856"/>
      <c r="G1" s="1856"/>
      <c r="H1" s="1856"/>
      <c r="I1" s="1856"/>
    </row>
    <row r="2" spans="1:11" ht="16.5" thickBot="1">
      <c r="A2" s="30"/>
      <c r="B2" s="5"/>
      <c r="C2" s="30"/>
      <c r="D2" s="30"/>
      <c r="E2" s="5"/>
      <c r="F2" s="5"/>
      <c r="G2" s="1288"/>
      <c r="H2" s="240" t="s">
        <v>70</v>
      </c>
      <c r="I2" s="32" t="s">
        <v>69</v>
      </c>
    </row>
    <row r="3" spans="1:11" s="13" customFormat="1" ht="47.25">
      <c r="A3" s="1865" t="s">
        <v>14</v>
      </c>
      <c r="B3" s="1865" t="s">
        <v>3</v>
      </c>
      <c r="C3" s="316"/>
      <c r="D3" s="1865" t="s">
        <v>20</v>
      </c>
      <c r="E3" s="358" t="s">
        <v>18</v>
      </c>
      <c r="F3" s="359" t="s">
        <v>994</v>
      </c>
      <c r="G3" s="1289" t="s">
        <v>19</v>
      </c>
      <c r="H3" s="353" t="s">
        <v>68</v>
      </c>
      <c r="I3" s="320" t="s">
        <v>72</v>
      </c>
      <c r="J3" s="13">
        <v>1</v>
      </c>
    </row>
    <row r="4" spans="1:11" s="13" customFormat="1" ht="15.75">
      <c r="A4" s="1863"/>
      <c r="B4" s="1863"/>
      <c r="C4" s="316"/>
      <c r="D4" s="1863"/>
      <c r="E4" s="1351" t="s">
        <v>101</v>
      </c>
      <c r="F4" s="1351"/>
      <c r="G4" s="1289" t="s">
        <v>163</v>
      </c>
      <c r="H4" s="354">
        <v>8</v>
      </c>
      <c r="I4" s="321"/>
    </row>
    <row r="5" spans="1:11" s="41" customFormat="1" ht="15.75">
      <c r="A5" s="361">
        <v>1</v>
      </c>
      <c r="B5" s="362"/>
      <c r="C5" s="1205"/>
      <c r="D5" s="80"/>
      <c r="E5" s="363"/>
      <c r="F5" s="364"/>
      <c r="G5" s="1509">
        <f>SUM(G6:G13)</f>
        <v>245900</v>
      </c>
      <c r="H5" s="355"/>
      <c r="I5" s="322">
        <f>SUM(I6:I12)*105%</f>
        <v>938280</v>
      </c>
      <c r="J5" s="348">
        <f>G5</f>
        <v>245900</v>
      </c>
      <c r="K5" s="348">
        <f>J5/J3</f>
        <v>245900</v>
      </c>
    </row>
    <row r="6" spans="1:11" ht="15.75">
      <c r="A6" s="316">
        <v>1</v>
      </c>
      <c r="B6" s="366" t="s">
        <v>77</v>
      </c>
      <c r="C6" s="316"/>
      <c r="D6" s="367" t="s">
        <v>171</v>
      </c>
      <c r="E6" s="368">
        <f>Gia_VLieu!$D$4</f>
        <v>45000</v>
      </c>
      <c r="F6" s="1494">
        <v>1</v>
      </c>
      <c r="G6" s="368">
        <f>E6*F6</f>
        <v>45000</v>
      </c>
      <c r="H6" s="356">
        <v>4</v>
      </c>
      <c r="I6" s="33">
        <f>$G6*H6</f>
        <v>180000</v>
      </c>
      <c r="J6" s="1356">
        <v>1</v>
      </c>
    </row>
    <row r="7" spans="1:11" ht="15.75">
      <c r="A7" s="316">
        <v>2</v>
      </c>
      <c r="B7" s="366" t="s">
        <v>78</v>
      </c>
      <c r="C7" s="316"/>
      <c r="D7" s="367" t="s">
        <v>172</v>
      </c>
      <c r="E7" s="368">
        <f>Gia_VLieu!$D$5</f>
        <v>1450000</v>
      </c>
      <c r="F7" s="1494">
        <v>0.1</v>
      </c>
      <c r="G7" s="368">
        <f t="shared" ref="G7:G13" si="0">E7*F7</f>
        <v>145000</v>
      </c>
      <c r="H7" s="356">
        <v>4</v>
      </c>
      <c r="I7" s="33">
        <f t="shared" ref="I7:I12" si="1">$G7*H7</f>
        <v>580000</v>
      </c>
      <c r="J7" s="1357">
        <v>0.1</v>
      </c>
    </row>
    <row r="8" spans="1:11" ht="15.75">
      <c r="A8" s="316">
        <v>3</v>
      </c>
      <c r="B8" s="366" t="s">
        <v>80</v>
      </c>
      <c r="C8" s="316"/>
      <c r="D8" s="367" t="s">
        <v>173</v>
      </c>
      <c r="E8" s="368">
        <f>Gia_VLieu!$D$7</f>
        <v>10000</v>
      </c>
      <c r="F8" s="1494">
        <v>1</v>
      </c>
      <c r="G8" s="368">
        <f t="shared" si="0"/>
        <v>10000</v>
      </c>
      <c r="H8" s="356">
        <v>1</v>
      </c>
      <c r="I8" s="33">
        <f t="shared" si="1"/>
        <v>10000</v>
      </c>
      <c r="J8" s="1356">
        <v>1</v>
      </c>
    </row>
    <row r="9" spans="1:11" ht="15.75">
      <c r="A9" s="316">
        <v>4</v>
      </c>
      <c r="B9" s="366" t="s">
        <v>21</v>
      </c>
      <c r="C9" s="316"/>
      <c r="D9" s="367" t="s">
        <v>130</v>
      </c>
      <c r="E9" s="368">
        <f>Gia_VLieu!$D$8</f>
        <v>2000</v>
      </c>
      <c r="F9" s="1494">
        <v>5</v>
      </c>
      <c r="G9" s="368">
        <f t="shared" si="0"/>
        <v>10000</v>
      </c>
      <c r="H9" s="356">
        <v>4</v>
      </c>
      <c r="I9" s="33">
        <f t="shared" si="1"/>
        <v>40000</v>
      </c>
      <c r="J9" s="1356">
        <v>5</v>
      </c>
    </row>
    <row r="10" spans="1:11" ht="15.75">
      <c r="A10" s="316">
        <v>5</v>
      </c>
      <c r="B10" s="366" t="s">
        <v>83</v>
      </c>
      <c r="C10" s="316"/>
      <c r="D10" s="367" t="s">
        <v>130</v>
      </c>
      <c r="E10" s="368">
        <f>Gia_VLieu!$D$10</f>
        <v>10000</v>
      </c>
      <c r="F10" s="1494">
        <v>2</v>
      </c>
      <c r="G10" s="368">
        <f t="shared" si="0"/>
        <v>20000</v>
      </c>
      <c r="H10" s="356">
        <v>4</v>
      </c>
      <c r="I10" s="33">
        <f t="shared" si="1"/>
        <v>80000</v>
      </c>
      <c r="J10" s="1356">
        <v>2</v>
      </c>
    </row>
    <row r="11" spans="1:11" ht="15.75">
      <c r="A11" s="316">
        <v>6</v>
      </c>
      <c r="B11" s="366" t="s">
        <v>84</v>
      </c>
      <c r="C11" s="316"/>
      <c r="D11" s="367" t="s">
        <v>172</v>
      </c>
      <c r="E11" s="368">
        <f>Gia_VLieu!$D$11</f>
        <v>2500</v>
      </c>
      <c r="F11" s="1494">
        <v>0.2</v>
      </c>
      <c r="G11" s="368">
        <f t="shared" si="0"/>
        <v>500</v>
      </c>
      <c r="H11" s="356">
        <v>4</v>
      </c>
      <c r="I11" s="33">
        <f t="shared" si="1"/>
        <v>2000</v>
      </c>
      <c r="J11" s="1356">
        <v>0.2</v>
      </c>
    </row>
    <row r="12" spans="1:11" ht="15.75">
      <c r="A12" s="316">
        <v>7</v>
      </c>
      <c r="B12" s="366" t="s">
        <v>85</v>
      </c>
      <c r="C12" s="316"/>
      <c r="D12" s="367" t="s">
        <v>172</v>
      </c>
      <c r="E12" s="368">
        <f>Gia_VLieu!$D$12</f>
        <v>2000</v>
      </c>
      <c r="F12" s="1494">
        <v>0.2</v>
      </c>
      <c r="G12" s="368">
        <f t="shared" si="0"/>
        <v>400</v>
      </c>
      <c r="H12" s="356">
        <v>4</v>
      </c>
      <c r="I12" s="33">
        <f t="shared" si="1"/>
        <v>1600</v>
      </c>
      <c r="J12" s="1356">
        <v>0.2</v>
      </c>
    </row>
    <row r="13" spans="1:11" ht="15.75">
      <c r="A13" s="316">
        <v>8</v>
      </c>
      <c r="B13" s="366" t="s">
        <v>87</v>
      </c>
      <c r="C13" s="316"/>
      <c r="D13" s="367" t="s">
        <v>130</v>
      </c>
      <c r="E13" s="368">
        <f>Gia_VLieu!$D$14</f>
        <v>15000</v>
      </c>
      <c r="F13" s="1494">
        <v>1</v>
      </c>
      <c r="G13" s="368">
        <f t="shared" si="0"/>
        <v>15000</v>
      </c>
      <c r="H13" s="357">
        <f>(H10*0.1+H11*0.04)*H$4</f>
        <v>4.4800000000000004</v>
      </c>
      <c r="I13" s="143">
        <f>$G13*H13*E13</f>
        <v>1008000000</v>
      </c>
      <c r="J13" s="1356">
        <v>1</v>
      </c>
    </row>
    <row r="14" spans="1:11" ht="15.75" thickBot="1"/>
    <row r="15" spans="1:11" ht="31.5">
      <c r="A15" s="227" t="s">
        <v>14</v>
      </c>
      <c r="B15" s="227" t="s">
        <v>133</v>
      </c>
      <c r="C15" s="227" t="s">
        <v>20</v>
      </c>
      <c r="D15" s="227" t="s">
        <v>110</v>
      </c>
      <c r="E15" s="228" t="s">
        <v>28</v>
      </c>
      <c r="F15" s="228" t="s">
        <v>19</v>
      </c>
    </row>
    <row r="16" spans="1:11" ht="15.75">
      <c r="A16" s="412"/>
      <c r="B16" s="413" t="str">
        <f>'Nhân công DL Nen 17-&gt;75'!B3</f>
        <v xml:space="preserve"> Xây dựng dữ liệu không gian đất đai nền</v>
      </c>
      <c r="C16" s="1353"/>
      <c r="D16" s="1154"/>
      <c r="E16" s="319"/>
      <c r="F16" s="1198"/>
      <c r="G16" s="1291"/>
      <c r="J16" s="411"/>
    </row>
    <row r="17" spans="1:11" ht="15.75">
      <c r="A17" s="236">
        <f>'Nhân công DL Nen 17-&gt;75'!A4</f>
        <v>1</v>
      </c>
      <c r="B17" s="391" t="str">
        <f>'Nhân công DL Nen 17-&gt;75'!B4</f>
        <v xml:space="preserve"> Xây dựng dữ liệu không gian đất đai nền</v>
      </c>
      <c r="C17" s="386"/>
      <c r="D17" s="319"/>
      <c r="E17" s="319"/>
      <c r="F17" s="1174"/>
      <c r="G17" s="1291"/>
      <c r="J17" s="411">
        <f t="shared" ref="J17:J18" si="2">F17</f>
        <v>0</v>
      </c>
    </row>
    <row r="18" spans="1:11" ht="15.75">
      <c r="A18" s="236" t="str">
        <f>'Nhân công DL Nen 17-&gt;75'!A5</f>
        <v>1.1</v>
      </c>
      <c r="B18" s="391" t="str">
        <f>'Nhân công DL Nen 17-&gt;75'!B5</f>
        <v>Tách, lọc và chuẩn hóa các lớp đối tượng không gian đất đai nền</v>
      </c>
      <c r="C18" s="386" t="str">
        <f>'Nhân công DL Nen 17-&gt;75'!C5</f>
        <v>Bộ dữ liệu</v>
      </c>
      <c r="D18" s="319">
        <f>'Nhân công DL Nen 17-&gt;75'!E5</f>
        <v>6</v>
      </c>
      <c r="E18" s="344">
        <v>0.59409999999999996</v>
      </c>
      <c r="F18" s="1174">
        <f t="shared" ref="F18:F21" si="3">E18*$G$5</f>
        <v>146089.19</v>
      </c>
      <c r="G18" s="409">
        <f>E18*8000</f>
        <v>4752.7999999999993</v>
      </c>
      <c r="H18" s="225">
        <f>ROUND(E18,4)</f>
        <v>0.59409999999999996</v>
      </c>
      <c r="J18" s="411">
        <f t="shared" si="2"/>
        <v>146089.19</v>
      </c>
    </row>
    <row r="19" spans="1:11" s="1209" customFormat="1" ht="31.5">
      <c r="A19" s="236" t="str">
        <f>'Nhân công DL Nen 17-&gt;75'!A6</f>
        <v>1.2</v>
      </c>
      <c r="B19" s="391" t="str">
        <f>'Nhân công DL Nen 17-&gt;75'!B6</f>
        <v>Chuyển đổi các lớp đối tượng không gian đất đai nền từ tệp (File) bản đồ số vào CSDL</v>
      </c>
      <c r="C19" s="386" t="str">
        <f>'Nhân công DL Nen 17-&gt;75'!C6</f>
        <v>Bộ dữ liệu</v>
      </c>
      <c r="D19" s="319">
        <f>'Nhân công DL Nen 17-&gt;75'!E6</f>
        <v>2</v>
      </c>
      <c r="E19" s="344">
        <v>0.15840000000000001</v>
      </c>
      <c r="F19" s="1174">
        <f t="shared" si="3"/>
        <v>38950.560000000005</v>
      </c>
      <c r="G19" s="409">
        <f t="shared" ref="G19:G21" si="4">E19*8000</f>
        <v>1267.2</v>
      </c>
      <c r="H19" s="225">
        <f t="shared" ref="H19:H21" si="5">ROUND(E19,4)</f>
        <v>0.15840000000000001</v>
      </c>
      <c r="I19" s="1208"/>
    </row>
    <row r="20" spans="1:11" ht="15.75">
      <c r="A20" s="236">
        <f>'Nhân công DL Nen 17-&gt;75'!A7</f>
        <v>2</v>
      </c>
      <c r="B20" s="391" t="str">
        <f>'Nhân công DL Nen 17-&gt;75'!B7</f>
        <v xml:space="preserve">Tích hợp dữ liệu không gian đất đai nền </v>
      </c>
      <c r="C20" s="386"/>
      <c r="D20" s="319"/>
      <c r="E20" s="344"/>
      <c r="F20" s="1174"/>
      <c r="G20" s="409"/>
      <c r="H20" s="225">
        <f t="shared" si="5"/>
        <v>0</v>
      </c>
    </row>
    <row r="21" spans="1:11" ht="31.5">
      <c r="A21" s="236">
        <f>'Nhân công DL Nen 17-&gt;75'!A8</f>
        <v>0</v>
      </c>
      <c r="B21" s="391" t="str">
        <f>'Nhân công DL Nen 17-&gt;75'!B8</f>
        <v>Tích hợp dữ liệu không gian đất đai nền vào CSDL đất đai để quản lý, vận hành, khai thác sử dụng</v>
      </c>
      <c r="C21" s="386" t="str">
        <f>'Nhân công DL Nen 17-&gt;75'!C8</f>
        <v>Bộ dữ liệu</v>
      </c>
      <c r="D21" s="319">
        <f>'Nhân công DL Nen 17-&gt;75'!E8</f>
        <v>3</v>
      </c>
      <c r="E21" s="344">
        <v>0.2475</v>
      </c>
      <c r="F21" s="1174">
        <f t="shared" si="3"/>
        <v>60860.25</v>
      </c>
      <c r="G21" s="409">
        <f t="shared" si="4"/>
        <v>1980</v>
      </c>
      <c r="H21" s="225">
        <f t="shared" si="5"/>
        <v>0.2475</v>
      </c>
    </row>
    <row r="22" spans="1:11" s="69" customFormat="1">
      <c r="A22" s="242"/>
      <c r="B22" s="12"/>
      <c r="C22" s="242"/>
      <c r="D22" s="1075">
        <f>SUM(D16:D21)</f>
        <v>11</v>
      </c>
      <c r="E22" s="1173">
        <f>SUM(E16:E21)</f>
        <v>1</v>
      </c>
      <c r="F22" s="1248">
        <f>SUM(F16:F21)</f>
        <v>245900</v>
      </c>
      <c r="G22" s="1290"/>
      <c r="I22" s="244"/>
      <c r="J22" s="12"/>
      <c r="K22" s="12"/>
    </row>
    <row r="24" spans="1:11" s="69" customFormat="1">
      <c r="A24" s="242"/>
      <c r="B24" s="12"/>
      <c r="C24" s="242"/>
      <c r="D24" s="242"/>
      <c r="E24" s="12"/>
      <c r="F24" s="1248">
        <f>F22*J3</f>
        <v>245900</v>
      </c>
      <c r="G24" s="1290"/>
      <c r="I24" s="244"/>
      <c r="J24" s="12"/>
      <c r="K24" s="12"/>
    </row>
    <row r="25" spans="1:11" s="69" customFormat="1">
      <c r="A25" s="242"/>
      <c r="B25" s="12"/>
      <c r="C25" s="242"/>
      <c r="D25" s="1075">
        <f>D22-'Dụng cụ DL Nen 17--&gt;75'!D20</f>
        <v>0</v>
      </c>
      <c r="E25" s="12"/>
      <c r="F25" s="12"/>
      <c r="G25" s="1290"/>
      <c r="I25" s="244"/>
      <c r="J25" s="12"/>
      <c r="K25" s="12"/>
    </row>
  </sheetData>
  <mergeCells count="4">
    <mergeCell ref="A1:I1"/>
    <mergeCell ref="A3:A4"/>
    <mergeCell ref="B3:B4"/>
    <mergeCell ref="D3: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25</vt:i4>
      </vt:variant>
    </vt:vector>
  </HeadingPairs>
  <TitlesOfParts>
    <vt:vector size="79" baseType="lpstr">
      <vt:lpstr>L_CBan</vt:lpstr>
      <vt:lpstr>Gia_Tbi</vt:lpstr>
      <vt:lpstr>Gia_Dcu</vt:lpstr>
      <vt:lpstr>Gia_VLieu</vt:lpstr>
      <vt:lpstr>Gia_Phanmem</vt:lpstr>
      <vt:lpstr>Nhân công DL Nen 17-&gt;75</vt:lpstr>
      <vt:lpstr>Dụng cụ DL Nen 17--&gt;75</vt:lpstr>
      <vt:lpstr>Thiết bị DL Nen 17--&gt;75</vt:lpstr>
      <vt:lpstr>Vật liệu DL Nen 17--&gt;75</vt:lpstr>
      <vt:lpstr>Nhân công</vt:lpstr>
      <vt:lpstr>Thiết bị</vt:lpstr>
      <vt:lpstr>Dụng cụ</vt:lpstr>
      <vt:lpstr>Vật liệu</vt:lpstr>
      <vt:lpstr>NC, DC,VL, TB QT đồng bộ</vt:lpstr>
      <vt:lpstr>Nhân công Nen</vt:lpstr>
      <vt:lpstr>Thiết bị Nen</vt:lpstr>
      <vt:lpstr>Dụng cụ Nen</vt:lpstr>
      <vt:lpstr>Vật liệu Nen</vt:lpstr>
      <vt:lpstr>Nhân công quet</vt:lpstr>
      <vt:lpstr>Thiết bị quet</vt:lpstr>
      <vt:lpstr>Dụng cụ quet</vt:lpstr>
      <vt:lpstr>Vật liệu quet</vt:lpstr>
      <vt:lpstr>Don gia XCSDL DC</vt:lpstr>
      <vt:lpstr>Đơn gia phân theo loại đất</vt:lpstr>
      <vt:lpstr>Tinh thu theo du thao</vt:lpstr>
      <vt:lpstr>Tinh thu theo DM 18</vt:lpstr>
      <vt:lpstr>Don gia XCSDL DC CAP TW</vt:lpstr>
      <vt:lpstr>Thiet-bi Trung Uong</vt:lpstr>
      <vt:lpstr>Dcu Trung Uong</vt:lpstr>
      <vt:lpstr>Nhan-cong-Trung Uong</vt:lpstr>
      <vt:lpstr>Vat-lieu Trung Uong</vt:lpstr>
      <vt:lpstr>KHOILUONG</vt:lpstr>
      <vt:lpstr>Data_tinh thu</vt:lpstr>
      <vt:lpstr>Don gia Chuyen doi DLDC</vt:lpstr>
      <vt:lpstr>Đơn giá 17-&gt;75</vt:lpstr>
      <vt:lpstr>Thiet bi 17-&gt;75</vt:lpstr>
      <vt:lpstr>Vật liệu 17-&gt;75</vt:lpstr>
      <vt:lpstr>Dụng cụ 17-&gt;75</vt:lpstr>
      <vt:lpstr>Nhân công 17-&gt;75</vt:lpstr>
      <vt:lpstr>DK thuong xuyen</vt:lpstr>
      <vt:lpstr>VL DK thuong xuyen</vt:lpstr>
      <vt:lpstr>TB DK thuong xuyen</vt:lpstr>
      <vt:lpstr>DC DK thuong xuyen</vt:lpstr>
      <vt:lpstr>VL_DK bo sung</vt:lpstr>
      <vt:lpstr>TB_DK bo sung</vt:lpstr>
      <vt:lpstr>DC_DK bo sung</vt:lpstr>
      <vt:lpstr>DK bo sung</vt:lpstr>
      <vt:lpstr>Sắp xêp HS</vt:lpstr>
      <vt:lpstr>VLieu Xep HS</vt:lpstr>
      <vt:lpstr>Tbi Xep HS</vt:lpstr>
      <vt:lpstr>DCu Xep HS</vt:lpstr>
      <vt:lpstr>He so nhap</vt:lpstr>
      <vt:lpstr>Tbi</vt:lpstr>
      <vt:lpstr>VLieu</vt:lpstr>
      <vt:lpstr>'NC, DC,VL, TB QT đồng bộ'!_Toc476325040</vt:lpstr>
      <vt:lpstr>'Vật liệu'!Print_Area</vt:lpstr>
      <vt:lpstr>'Data_tinh thu'!Print_Titles</vt:lpstr>
      <vt:lpstr>'DC DK thuong xuyen'!Print_Titles</vt:lpstr>
      <vt:lpstr>'DC_DK bo sung'!Print_Titles</vt:lpstr>
      <vt:lpstr>'Dcu Trung Uong'!Print_Titles</vt:lpstr>
      <vt:lpstr>'Don gia Chuyen doi DLDC'!Print_Titles</vt:lpstr>
      <vt:lpstr>'Don gia XCSDL DC'!Print_Titles</vt:lpstr>
      <vt:lpstr>'Don gia XCSDL DC CAP TW'!Print_Titles</vt:lpstr>
      <vt:lpstr>'Dụng cụ'!Print_Titles</vt:lpstr>
      <vt:lpstr>'Dụng cụ 17-&gt;75'!Print_Titles</vt:lpstr>
      <vt:lpstr>'Dụng cụ DL Nen 17--&gt;75'!Print_Titles</vt:lpstr>
      <vt:lpstr>'Dụng cụ Nen'!Print_Titles</vt:lpstr>
      <vt:lpstr>Gia_Dcu!Print_Titles</vt:lpstr>
      <vt:lpstr>Gia_Phanmem!Print_Titles</vt:lpstr>
      <vt:lpstr>Gia_Tbi!Print_Titles</vt:lpstr>
      <vt:lpstr>Gia_VLieu!Print_Titles</vt:lpstr>
      <vt:lpstr>KHOILUONG!Print_Titles</vt:lpstr>
      <vt:lpstr>L_CBan!Print_Titles</vt:lpstr>
      <vt:lpstr>'Nhân công'!Print_Titles</vt:lpstr>
      <vt:lpstr>Tbi!Print_Titles</vt:lpstr>
      <vt:lpstr>'Thiết bị'!Print_Titles</vt:lpstr>
      <vt:lpstr>'Thiết bị Nen'!Print_Titles</vt:lpstr>
      <vt:lpstr>'Vật liệu'!Print_Titles</vt:lpstr>
      <vt:lpstr>VLieu!Print_Titles</vt:lpstr>
    </vt:vector>
  </TitlesOfParts>
  <Company>TTKTDCVCNTT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HOAI_NAM</dc:creator>
  <cp:lastModifiedBy>AutoBVT</cp:lastModifiedBy>
  <cp:lastPrinted>2019-07-29T10:18:36Z</cp:lastPrinted>
  <dcterms:created xsi:type="dcterms:W3CDTF">2002-07-07T11:49:09Z</dcterms:created>
  <dcterms:modified xsi:type="dcterms:W3CDTF">2019-08-13T04:12:34Z</dcterms:modified>
</cp:coreProperties>
</file>